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wmf" ContentType="image/x-w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90" windowWidth="20730" windowHeight="9735" activeTab="19"/>
  </bookViews>
  <sheets>
    <sheet name="1.1" sheetId="16" r:id="rId1"/>
    <sheet name="1.2" sheetId="22" r:id="rId2"/>
    <sheet name="1.2-" sheetId="17" state="hidden" r:id="rId3"/>
    <sheet name="1.3" sheetId="18" r:id="rId4"/>
    <sheet name="1.4" sheetId="19" r:id="rId5"/>
    <sheet name="2.1" sheetId="1" r:id="rId6"/>
    <sheet name="2.2" sheetId="2" r:id="rId7"/>
    <sheet name="2.3" sheetId="3" r:id="rId8"/>
    <sheet name="3.1" sheetId="20" r:id="rId9"/>
    <sheet name="3.2 " sheetId="25" r:id="rId10"/>
    <sheet name="3.4 " sheetId="26" r:id="rId11"/>
    <sheet name="3.5 " sheetId="27" r:id="rId12"/>
    <sheet name="4.1 " sheetId="32" r:id="rId13"/>
    <sheet name="4.2" sheetId="8" r:id="rId14"/>
    <sheet name="4.3" sheetId="9" r:id="rId15"/>
    <sheet name="4.4" sheetId="10" r:id="rId16"/>
    <sheet name="4.5 " sheetId="28" r:id="rId17"/>
    <sheet name="4.6 " sheetId="29" r:id="rId18"/>
    <sheet name="4.7 " sheetId="30" r:id="rId19"/>
    <sheet name="4.8 " sheetId="31" r:id="rId20"/>
    <sheet name="4.9" sheetId="15" state="hidden" r:id="rId21"/>
    <sheet name="Лист1" sheetId="23" state="hidden" r:id="rId22"/>
  </sheets>
  <definedNames>
    <definedName name="_xlnm._FilterDatabase" localSheetId="18" hidden="1">'4.7 '!$A$3:$W$299</definedName>
    <definedName name="_xlnm.Print_Area" localSheetId="0">'1.1'!$A$1:$N$24</definedName>
    <definedName name="_xlnm.Print_Area" localSheetId="1">'1.2'!$A$1:$AP$13</definedName>
    <definedName name="_xlnm.Print_Area" localSheetId="2">'1.2-'!$A$1:$E$3</definedName>
    <definedName name="_xlnm.Print_Area" localSheetId="3">'1.3'!$A$1:$F$10</definedName>
    <definedName name="_xlnm.Print_Area" localSheetId="4">'1.4'!$A$1:$D$8</definedName>
    <definedName name="_xlnm.Print_Area" localSheetId="5">'2.1'!$A$1:$E$27</definedName>
    <definedName name="_xlnm.Print_Area" localSheetId="6">'2.2'!$A$1:$T$20</definedName>
    <definedName name="_xlnm.Print_Area" localSheetId="7">'2.3'!$A$1</definedName>
    <definedName name="_xlnm.Print_Area" localSheetId="8">'3.1'!$A$1:$B$5</definedName>
    <definedName name="_xlnm.Print_Area" localSheetId="9">'3.2 '!$A$2:$V$2</definedName>
    <definedName name="_xlnm.Print_Area" localSheetId="10">'3.4 '!$A$1:$R$17</definedName>
    <definedName name="_xlnm.Print_Area" localSheetId="11">'3.5 '!$A$1:$K$21</definedName>
    <definedName name="_xlnm.Print_Area" localSheetId="12">'4.1 '!$A$1:$Q$29</definedName>
    <definedName name="_xlnm.Print_Area" localSheetId="13">'4.2'!$A$1:$K$17</definedName>
    <definedName name="_xlnm.Print_Area" localSheetId="16">'4.5 '!$A$1:$C$4</definedName>
    <definedName name="_xlnm.Print_Area" localSheetId="18">'4.7 '!$A$1:$Y$296</definedName>
    <definedName name="_xlnm.Print_Area" localSheetId="19">'4.8 '!$A$1:$A$6</definedName>
    <definedName name="_xlnm.Print_Area" localSheetId="20">'4.9'!$A$1:$AE$16</definedName>
  </definedNames>
  <calcPr calcId="125725"/>
</workbook>
</file>

<file path=xl/calcChain.xml><?xml version="1.0" encoding="utf-8"?>
<calcChain xmlns="http://schemas.openxmlformats.org/spreadsheetml/2006/main">
  <c r="E26" i="1"/>
  <c r="E27"/>
  <c r="AB12" i="22" l="1"/>
  <c r="M17" i="16"/>
  <c r="H16" i="8"/>
  <c r="D9" i="32"/>
  <c r="C9"/>
  <c r="O14"/>
  <c r="N14"/>
  <c r="K14"/>
  <c r="H14"/>
  <c r="I12"/>
  <c r="K9"/>
  <c r="H9"/>
  <c r="M9"/>
  <c r="N9" s="1"/>
  <c r="P9"/>
  <c r="O9"/>
  <c r="L9"/>
  <c r="J9"/>
  <c r="I9"/>
  <c r="G9"/>
  <c r="F9"/>
  <c r="E14"/>
  <c r="H6" i="8"/>
  <c r="H11"/>
  <c r="H12"/>
  <c r="E28" i="32"/>
  <c r="E12"/>
  <c r="E11"/>
  <c r="E19"/>
  <c r="D16"/>
  <c r="E16" s="1"/>
  <c r="S20" i="2" l="1"/>
  <c r="S19"/>
  <c r="S17"/>
  <c r="S16"/>
  <c r="S15"/>
  <c r="S14"/>
  <c r="S13"/>
  <c r="S12"/>
  <c r="S11"/>
  <c r="S10"/>
  <c r="S9"/>
  <c r="S8"/>
  <c r="R20"/>
  <c r="Q20"/>
  <c r="N20"/>
  <c r="M20"/>
  <c r="J20"/>
  <c r="I20"/>
  <c r="F20"/>
  <c r="E20"/>
  <c r="M19"/>
  <c r="Q19"/>
  <c r="I19"/>
  <c r="N18"/>
  <c r="R18"/>
  <c r="M18"/>
  <c r="Q18"/>
  <c r="N17"/>
  <c r="R17"/>
  <c r="M17"/>
  <c r="Q17"/>
  <c r="I17"/>
  <c r="N16"/>
  <c r="R16"/>
  <c r="M16"/>
  <c r="Q16"/>
  <c r="J16"/>
  <c r="I16"/>
  <c r="E16"/>
  <c r="N15"/>
  <c r="R15"/>
  <c r="M15"/>
  <c r="Q15"/>
  <c r="N14"/>
  <c r="R14"/>
  <c r="Q14"/>
  <c r="M14"/>
  <c r="E12"/>
  <c r="I12"/>
  <c r="I11"/>
  <c r="I9"/>
  <c r="J13"/>
  <c r="I13"/>
  <c r="N13"/>
  <c r="R13"/>
  <c r="M13"/>
  <c r="Q13"/>
  <c r="N12"/>
  <c r="R12"/>
  <c r="M12"/>
  <c r="Q12"/>
  <c r="N11"/>
  <c r="R11"/>
  <c r="M11"/>
  <c r="Q11"/>
  <c r="N10"/>
  <c r="R10"/>
  <c r="M10"/>
  <c r="Q10"/>
  <c r="N9"/>
  <c r="R9"/>
  <c r="Q9"/>
  <c r="M9"/>
  <c r="F12" i="32"/>
  <c r="J12"/>
  <c r="N12"/>
  <c r="C13"/>
  <c r="G13"/>
  <c r="K13"/>
  <c r="O13"/>
  <c r="P14"/>
  <c r="D15"/>
  <c r="H15"/>
  <c r="L15"/>
  <c r="P15"/>
  <c r="E17"/>
  <c r="E10" s="1"/>
  <c r="H17"/>
  <c r="H10" s="1"/>
  <c r="I17"/>
  <c r="I10" s="1"/>
  <c r="L17"/>
  <c r="L10" s="1"/>
  <c r="M17"/>
  <c r="M10" s="1"/>
  <c r="P17"/>
  <c r="P10" s="1"/>
  <c r="Q17"/>
  <c r="Q10" s="1"/>
  <c r="E18"/>
  <c r="F18"/>
  <c r="I18"/>
  <c r="I11" s="1"/>
  <c r="J18"/>
  <c r="J11" s="1"/>
  <c r="M18"/>
  <c r="M11" s="1"/>
  <c r="N18"/>
  <c r="N11" s="1"/>
  <c r="Q18"/>
  <c r="Q11" s="1"/>
  <c r="F19"/>
  <c r="G19"/>
  <c r="J19"/>
  <c r="K19"/>
  <c r="N19"/>
  <c r="O19"/>
  <c r="C20"/>
  <c r="D20"/>
  <c r="G20"/>
  <c r="H20"/>
  <c r="K20"/>
  <c r="L20"/>
  <c r="O20"/>
  <c r="P20"/>
  <c r="C21"/>
  <c r="D21"/>
  <c r="E21"/>
  <c r="F21"/>
  <c r="G21"/>
  <c r="G12" s="1"/>
  <c r="H21"/>
  <c r="H12" s="1"/>
  <c r="I21"/>
  <c r="J21"/>
  <c r="K21"/>
  <c r="K12" s="1"/>
  <c r="L21"/>
  <c r="L12" s="1"/>
  <c r="M21"/>
  <c r="N21"/>
  <c r="O21"/>
  <c r="O12" s="1"/>
  <c r="P21"/>
  <c r="P12" s="1"/>
  <c r="Q21"/>
  <c r="C22"/>
  <c r="D22"/>
  <c r="D13" s="1"/>
  <c r="E22"/>
  <c r="E13" s="1"/>
  <c r="F22"/>
  <c r="G22"/>
  <c r="H22"/>
  <c r="H13" s="1"/>
  <c r="I22"/>
  <c r="I13" s="1"/>
  <c r="J22"/>
  <c r="K22"/>
  <c r="L22"/>
  <c r="L13" s="1"/>
  <c r="M22"/>
  <c r="M13" s="1"/>
  <c r="N22"/>
  <c r="O22"/>
  <c r="P22"/>
  <c r="P13" s="1"/>
  <c r="Q22"/>
  <c r="Q13" s="1"/>
  <c r="C23"/>
  <c r="D23"/>
  <c r="E23"/>
  <c r="F23"/>
  <c r="G23"/>
  <c r="H23"/>
  <c r="I23"/>
  <c r="J23"/>
  <c r="K23"/>
  <c r="L23"/>
  <c r="M23"/>
  <c r="N23"/>
  <c r="O23"/>
  <c r="P23"/>
  <c r="Q23"/>
  <c r="Q14" s="1"/>
  <c r="C24"/>
  <c r="C15" s="1"/>
  <c r="D24"/>
  <c r="E24"/>
  <c r="F24"/>
  <c r="F15" s="1"/>
  <c r="G24"/>
  <c r="G15" s="1"/>
  <c r="H24"/>
  <c r="I24"/>
  <c r="J24"/>
  <c r="J15" s="1"/>
  <c r="K24"/>
  <c r="K15" s="1"/>
  <c r="L24"/>
  <c r="M24"/>
  <c r="N24"/>
  <c r="N15" s="1"/>
  <c r="O24"/>
  <c r="O15" s="1"/>
  <c r="P24"/>
  <c r="Q24"/>
  <c r="E26"/>
  <c r="F26"/>
  <c r="F17" s="1"/>
  <c r="F10" s="1"/>
  <c r="G26"/>
  <c r="G17" s="1"/>
  <c r="G10" s="1"/>
  <c r="H26"/>
  <c r="I26"/>
  <c r="J26"/>
  <c r="J17" s="1"/>
  <c r="J10" s="1"/>
  <c r="K26"/>
  <c r="K17" s="1"/>
  <c r="K10" s="1"/>
  <c r="L26"/>
  <c r="M26"/>
  <c r="N26"/>
  <c r="N17" s="1"/>
  <c r="N10" s="1"/>
  <c r="O26"/>
  <c r="O17" s="1"/>
  <c r="O10" s="1"/>
  <c r="P26"/>
  <c r="Q26"/>
  <c r="C27"/>
  <c r="D27"/>
  <c r="D18" s="1"/>
  <c r="E27"/>
  <c r="E25" s="1"/>
  <c r="F27"/>
  <c r="G27"/>
  <c r="G18" s="1"/>
  <c r="H27"/>
  <c r="H18" s="1"/>
  <c r="H11" s="1"/>
  <c r="I27"/>
  <c r="I25" s="1"/>
  <c r="J27"/>
  <c r="K27"/>
  <c r="K18" s="1"/>
  <c r="K11" s="1"/>
  <c r="L27"/>
  <c r="L18" s="1"/>
  <c r="L11" s="1"/>
  <c r="M27"/>
  <c r="M25" s="1"/>
  <c r="N27"/>
  <c r="O27"/>
  <c r="O18" s="1"/>
  <c r="O11" s="1"/>
  <c r="P27"/>
  <c r="P18" s="1"/>
  <c r="P11" s="1"/>
  <c r="Q27"/>
  <c r="Q25" s="1"/>
  <c r="F28"/>
  <c r="G28"/>
  <c r="H28"/>
  <c r="H19" s="1"/>
  <c r="I28"/>
  <c r="J28"/>
  <c r="K28"/>
  <c r="L28"/>
  <c r="L19" s="1"/>
  <c r="M28"/>
  <c r="M12" s="1"/>
  <c r="N28"/>
  <c r="O28"/>
  <c r="P28"/>
  <c r="P19" s="1"/>
  <c r="Q28"/>
  <c r="Q12" s="1"/>
  <c r="C29"/>
  <c r="D29"/>
  <c r="E29"/>
  <c r="E20" s="1"/>
  <c r="F29"/>
  <c r="F13" s="1"/>
  <c r="G29"/>
  <c r="H29"/>
  <c r="I29"/>
  <c r="I20" s="1"/>
  <c r="J29"/>
  <c r="J13" s="1"/>
  <c r="K29"/>
  <c r="L29"/>
  <c r="M29"/>
  <c r="M20" s="1"/>
  <c r="N29"/>
  <c r="N13" s="1"/>
  <c r="O29"/>
  <c r="P29"/>
  <c r="Q29"/>
  <c r="Q20" s="1"/>
  <c r="P25" l="1"/>
  <c r="L25"/>
  <c r="H25"/>
  <c r="Q15"/>
  <c r="M15"/>
  <c r="I15"/>
  <c r="E15"/>
  <c r="N25"/>
  <c r="J25"/>
  <c r="F25"/>
  <c r="C18"/>
  <c r="O25"/>
  <c r="K25"/>
  <c r="G25"/>
  <c r="E9"/>
  <c r="N20"/>
  <c r="J20"/>
  <c r="F20"/>
  <c r="Q19"/>
  <c r="M19"/>
  <c r="I19"/>
  <c r="Q8" i="2" l="1"/>
  <c r="R8"/>
  <c r="N8"/>
  <c r="M8"/>
  <c r="E19" l="1"/>
  <c r="E17"/>
  <c r="F16"/>
  <c r="F13"/>
  <c r="E13"/>
  <c r="E11"/>
  <c r="E9"/>
  <c r="U20"/>
  <c r="E20" i="1"/>
  <c r="E14"/>
  <c r="E10"/>
  <c r="E9"/>
  <c r="C6" l="1"/>
  <c r="F7" i="18" l="1"/>
  <c r="F8"/>
  <c r="F9"/>
  <c r="F10"/>
  <c r="F6"/>
  <c r="V6" i="30" l="1"/>
  <c r="V7"/>
  <c r="V8"/>
  <c r="V9"/>
  <c r="T41"/>
  <c r="T42"/>
  <c r="T43"/>
  <c r="T44"/>
  <c r="T45"/>
  <c r="T46"/>
  <c r="T80"/>
  <c r="T81"/>
  <c r="T82"/>
  <c r="T83"/>
  <c r="T84"/>
  <c r="T85"/>
  <c r="V129"/>
  <c r="V130"/>
  <c r="V131"/>
  <c r="V170"/>
  <c r="V171"/>
  <c r="V172"/>
  <c r="V218"/>
  <c r="V219"/>
  <c r="V220"/>
  <c r="V280"/>
  <c r="V281"/>
  <c r="V282"/>
  <c r="V283"/>
  <c r="V284"/>
  <c r="E6" i="26"/>
  <c r="H6"/>
  <c r="K6"/>
  <c r="E7"/>
  <c r="H7"/>
  <c r="E11"/>
  <c r="H11"/>
  <c r="E12"/>
  <c r="H12"/>
  <c r="K12"/>
  <c r="E13"/>
  <c r="H13"/>
  <c r="K13"/>
  <c r="E17"/>
  <c r="H17"/>
  <c r="K17"/>
  <c r="AA13" i="22"/>
  <c r="AA12"/>
  <c r="N13" i="16"/>
  <c r="N17"/>
  <c r="N16"/>
  <c r="N23"/>
  <c r="M24"/>
  <c r="N24" s="1"/>
  <c r="M10"/>
  <c r="S18" i="2" l="1"/>
  <c r="D21" i="1"/>
  <c r="C21"/>
  <c r="D16"/>
  <c r="D11"/>
  <c r="D6"/>
  <c r="C11"/>
  <c r="D4" i="19" l="1"/>
  <c r="L17" i="16" l="1"/>
  <c r="L10"/>
  <c r="N10" s="1"/>
  <c r="L24" l="1"/>
  <c r="AP8" i="22" l="1"/>
  <c r="AP12"/>
  <c r="AP10"/>
  <c r="AP9"/>
  <c r="AP13"/>
  <c r="J12" l="1"/>
  <c r="D12"/>
  <c r="E12"/>
  <c r="F12"/>
  <c r="G12"/>
  <c r="H12"/>
  <c r="I12"/>
  <c r="K12"/>
  <c r="L12"/>
  <c r="M12"/>
  <c r="N12"/>
  <c r="O12"/>
  <c r="P12"/>
  <c r="Q12"/>
  <c r="R12"/>
  <c r="S12"/>
  <c r="T12"/>
  <c r="U12"/>
  <c r="V12"/>
  <c r="W12"/>
  <c r="X12"/>
  <c r="Z12"/>
  <c r="Y8"/>
  <c r="Y12" s="1"/>
  <c r="C12"/>
  <c r="E25" i="1" l="1"/>
  <c r="E24"/>
  <c r="E19"/>
  <c r="E15"/>
  <c r="D5" i="19" l="1"/>
  <c r="D6"/>
  <c r="D7"/>
  <c r="D8"/>
  <c r="C4" i="17" l="1"/>
  <c r="A7" i="15" l="1"/>
  <c r="A8" s="1"/>
  <c r="A9" s="1"/>
  <c r="A10" s="1"/>
  <c r="A11" s="1"/>
  <c r="A12" s="1"/>
  <c r="A13" s="1"/>
  <c r="A14" s="1"/>
  <c r="A15" s="1"/>
  <c r="A16" s="1"/>
</calcChain>
</file>

<file path=xl/comments1.xml><?xml version="1.0" encoding="utf-8"?>
<comments xmlns="http://schemas.openxmlformats.org/spreadsheetml/2006/main">
  <authors>
    <author>Андревa Ольга Владимировна</author>
  </authors>
  <commentList>
    <comment ref="F6" authorId="0">
      <text>
        <r>
          <rPr>
            <b/>
            <sz val="9"/>
            <color indexed="81"/>
            <rFont val="Tahoma"/>
            <family val="2"/>
            <charset val="204"/>
          </rPr>
          <t>Андревa Ольга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расшифровать в таблице 4.3</t>
        </r>
      </text>
    </comment>
  </commentList>
</comments>
</file>

<file path=xl/sharedStrings.xml><?xml version="1.0" encoding="utf-8"?>
<sst xmlns="http://schemas.openxmlformats.org/spreadsheetml/2006/main" count="2426" uniqueCount="661">
  <si>
    <t>N</t>
  </si>
  <si>
    <t>Показатель</t>
  </si>
  <si>
    <t>Значение показателя, годы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</si>
  <si>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</si>
  <si>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</si>
  <si>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</si>
  <si>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</si>
  <si>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</si>
  <si>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</si>
  <si>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1. Общая информация о сетевой организации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</si>
  <si>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</si>
  <si>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</si>
  <si>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</si>
  <si>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</si>
  <si>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</si>
  <si>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</si>
  <si>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</si>
  <si>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по технологическому присоединению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</si>
  <si>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</si>
  <si>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</si>
  <si>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</si>
  <si>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</si>
  <si>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</si>
  <si>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</si>
  <si>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</si>
  <si>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</si>
  <si>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</si>
  <si>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</si>
  <si>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</si>
  <si>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</si>
  <si>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</si>
  <si>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</si>
  <si>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</si>
  <si>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</si>
  <si>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</si>
  <si>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</si>
  <si>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</si>
  <si>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Категория надежности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</si>
  <si>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</si>
  <si>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</si>
  <si>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</si>
  <si>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</si>
  <si>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</si>
  <si>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</si>
  <si>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</si>
  <si>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</si>
  <si>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</si>
  <si>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</si>
  <si>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</si>
  <si>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</si>
  <si>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</si>
  <si>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</si>
  <si>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</si>
  <si>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</si>
  <si>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</si>
  <si>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</si>
  <si>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</si>
  <si>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</si>
  <si>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</si>
  <si>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</si>
  <si>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</si>
  <si>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</si>
  <si>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</si>
  <si>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</si>
  <si>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</si>
  <si>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</si>
  <si>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</si>
  <si>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</si>
  <si>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</si>
  <si>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</si>
  <si>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</si>
  <si>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</si>
  <si>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</si>
  <si>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</si>
  <si>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</si>
  <si>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</si>
  <si>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</si>
  <si>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Динамика изменения показателя %</t>
  </si>
  <si>
    <t>Показатель средней частоты прекращений передачи электрической энергии,                                                                     ( П 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</si>
  <si>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                                                              (П SAIDI ,план)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</si>
  <si>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                                                                                     (П SAIFI, план)</t>
  </si>
  <si>
    <t>1.4.</t>
  </si>
  <si>
    <t>1.5.</t>
  </si>
  <si>
    <t>1.6.</t>
  </si>
  <si>
    <t>2.4.</t>
  </si>
  <si>
    <t>2.5.</t>
  </si>
  <si>
    <t>2.6.</t>
  </si>
  <si>
    <t>2.7.</t>
  </si>
  <si>
    <t>2.8.</t>
  </si>
  <si>
    <t>3.1.</t>
  </si>
  <si>
    <t>3.2.</t>
  </si>
  <si>
    <t>3.3.</t>
  </si>
  <si>
    <t>3.4.</t>
  </si>
  <si>
    <t>4.8. Мероприятия, выполняемые сетевой организацией в целях повышения качества обслуживания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</si>
  <si>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</si>
  <si>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</si>
  <si>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</si>
  <si>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</si>
  <si>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</si>
  <si>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</si>
  <si>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</si>
  <si>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</si>
  <si>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</si>
  <si>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</si>
  <si>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</si>
  <si>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</si>
  <si>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</si>
  <si>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</si>
  <si>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</si>
  <si>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</si>
  <si>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</si>
  <si>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</si>
  <si>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</si>
  <si>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</si>
  <si>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</si>
  <si>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</si>
  <si>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</si>
  <si>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</si>
  <si>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</si>
  <si>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</si>
  <si>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</si>
  <si>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</si>
  <si>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4.9. Информация по обращениям потребителей.</t>
  </si>
  <si>
    <t>1</t>
  </si>
  <si>
    <t>1.1</t>
  </si>
  <si>
    <t>1.2</t>
  </si>
  <si>
    <t>1.3</t>
  </si>
  <si>
    <t>2.1</t>
  </si>
  <si>
    <t>2.2</t>
  </si>
  <si>
    <t>2.3</t>
  </si>
  <si>
    <t>2.4</t>
  </si>
  <si>
    <t>3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</si>
  <si>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</si>
  <si>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</si>
  <si>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</si>
  <si>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</si>
  <si>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</si>
  <si>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</si>
  <si>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</si>
  <si>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</si>
  <si>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</si>
  <si>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>юридические лица</t>
  </si>
  <si>
    <t>физические лица</t>
  </si>
  <si>
    <t xml:space="preserve">1.1. Количество потребителей услуг сетевой организации </t>
  </si>
  <si>
    <t>в т.ч.</t>
  </si>
  <si>
    <t>1.1.</t>
  </si>
  <si>
    <t>1.2.</t>
  </si>
  <si>
    <t>1.3.</t>
  </si>
  <si>
    <t>2.</t>
  </si>
  <si>
    <t>2.1.</t>
  </si>
  <si>
    <t>2.2.</t>
  </si>
  <si>
    <t>2.3.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</si>
  <si>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                                                        (П SAIFI, план)</t>
  </si>
  <si>
    <t>Тип потребителей услуг, уровни напряжения, категории надежности электроснабжения</t>
  </si>
  <si>
    <t>Юридические лица</t>
  </si>
  <si>
    <t>Физические лица</t>
  </si>
  <si>
    <t>ВСЕГО ПОТРЕБИТЕЛЕЙ</t>
  </si>
  <si>
    <t>Объекты электросетевого хозяйства</t>
  </si>
  <si>
    <t>Динамика изменения показателя,%</t>
  </si>
  <si>
    <t xml:space="preserve">3.1. Информация о наличии невостребованной мощности 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</si>
  <si>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                                                          (П SAIDI, план)</t>
  </si>
  <si>
    <r>
      <t>Показатель средней частоты прекращений передачи электрической энергии (</t>
    </r>
    <r>
      <rPr>
        <sz val="14"/>
        <color indexed="8"/>
        <rFont val="Times New Roman"/>
        <family val="1"/>
        <charset val="204"/>
      </rPr>
      <t xml:space="preserve">П </t>
    </r>
    <r>
      <rPr>
        <sz val="11"/>
        <color indexed="8"/>
        <rFont val="Times New Roman"/>
        <family val="1"/>
        <charset val="204"/>
      </rPr>
      <t>SAIFI)</t>
    </r>
  </si>
  <si>
    <r>
      <t>Показатель средней продолжительности прекращений передачи электрической энергии (</t>
    </r>
    <r>
      <rPr>
        <sz val="14"/>
        <color indexed="8"/>
        <rFont val="Times New Roman"/>
        <family val="1"/>
        <charset val="204"/>
      </rPr>
      <t>П</t>
    </r>
    <r>
      <rPr>
        <sz val="11"/>
        <color theme="1"/>
        <rFont val="Times New Roman"/>
        <family val="1"/>
        <charset val="204"/>
      </rPr>
      <t xml:space="preserve"> SAIDI )</t>
    </r>
  </si>
  <si>
    <t>количество точек поставки, в т.ч.</t>
  </si>
  <si>
    <t>Всего обращений потребителей, в том числе:</t>
  </si>
  <si>
    <t>минут</t>
  </si>
  <si>
    <t>количество потребителей услуг сетевой организации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</si>
  <si>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</si>
  <si>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</t>
  </si>
  <si>
    <t xml:space="preserve">
3.4. Сведения о качестве услуг по технологическому присоединению к электрическим сетям сетевой организации
</t>
  </si>
  <si>
    <t>4.2 Информация о деятельности офисов обслуживания потребителей</t>
  </si>
  <si>
    <t>4.3. Информация о заочном обслуживании потребителей посредством телефонной связи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</si>
  <si>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</si>
  <si>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</t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</si>
  <si>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12.01.1995 № 5-ФЗ "О ветеранах" (Собрание законодательства Российской Федерации, 2000, № 2, ст. 161; № 19, ст. 2023; 2001, № 1, ст. 2; № 33, ст. 3427; № 53, ст. 5030; 2002, № 30, ст. 3033; № 48, ст. 4743; № 52, ст. 5132; 2003, № 19, ст. 1750; 2004, № 19, ст. 1837; № 25, ст. 2480; № 27, ст. 2711; № 35, ст. 3607; № 52, ст. 5038; 2005, № 1, ст. 25; № 19, ст. 1748; № 52, ст. 5576; 2007, № 43, ст. 5084; 2008, № 9, ст. 817; № 29, ст. 3410; № 30, ст. 3609; № 40, ст. 4501; № 52, ст. 6224; 2009, № 18, ст. 2152; № 26, ст. 3133; № 29, ст. 3623; № 30, ст. 3739; № 51, ст. 6148; № 52, ст. 6403; 2010, № 19, ст. 2287; № 27, ст. 3433; № 30, ст. 3991; № 31, ст. 4206; № 50, ст. 6609; 2011, № 45, ст. 6337; № 47, ст. 6608; 2012, № 43, ст. 5782; 2013, № 14, ст. 1654; № 19, ст. 2331; № 27, ст. 3477; № 48, ст. 6165; 2014, № 23, ст. 2930; № 26, ст. 3406; № 52, ст. 7537; 2015, № 14, ст. 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№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№ 21, ст. 699; Ведомости Съезда народных депутатов Российской Федерации и Верховного Совета Российской Федерации, 1992, № 32, ст. 1861; Собрание законодательства Российской Федерации, 1995, № 48, ст. 4561; 1996, № 51, ст. 5680; 1997, № 47, ст. 5341; 1998, № 48, ст. 5850; 1999, № 16, ст. 1937; № 28, ст. 3460; 2000, № 33, ст. 3348; 2001, № 1, ст. 2; № 7, ст. 610; № 33, ст. 3413; 2002, № 30, ст. 3033; № 50, ст. 4929; № 53, ст. 5030; 2002, № 52, ст. 5132; 2003, № 43, ст. 4108; № 52, ст. 5038; 2004, № 18, ст. 1689; № 35, ст. 3607; 2006, № 6, ст. 637; № 30, ст. 3288; № 50, ст. 5285; 2007, № 46, ст. 5554; 2008, № 9, ст. 817; № 29, ст. 3410; № 30, ст. 3616; № 52, ст. 6224; № 52, ст. 6236; 2009, № 18, ст. 2152; № 30, ст. 3739; 2011, № 23, ст. 3270; № 29, ст. 4297; № 47, ст. 6608; № 49, ст. 7024; 2012, № 26, ст. 3446; № 53, ст. 7654; 2013, № 19, ст. 2331; № 27, ст. 3443; № 27, ст. 3446; № 27, ст. 3477; № 51, ст. 6693; 2014, № 26, ст. 3406; № 30, ст. 4217; № 40, ст. 5322; № 52, ст. 7539; 2015, № 14, ст. 2008)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</si>
  <si>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</t>
  </si>
  <si>
    <t xml:space="preserve">"Приложение № 7
к Единым стандартам
качества обслуживания сетевыми
организациями потребителей
услуг сетевых организаций
</t>
  </si>
  <si>
    <t>Оборудованных ПУ за 2016 год</t>
  </si>
  <si>
    <t>Челябинская область</t>
  </si>
  <si>
    <t>-</t>
  </si>
  <si>
    <t>(347) 266-14-01               (347) 266-31-08</t>
  </si>
  <si>
    <t>2015 г.</t>
  </si>
  <si>
    <t>№ п/п</t>
  </si>
  <si>
    <t>Уровень напряжения</t>
  </si>
  <si>
    <t>Белебей</t>
  </si>
  <si>
    <t>Большеустьикинское</t>
  </si>
  <si>
    <t>В. Киги</t>
  </si>
  <si>
    <t>Магинск</t>
  </si>
  <si>
    <t>НБКТ</t>
  </si>
  <si>
    <t>Стерлибаш</t>
  </si>
  <si>
    <t>Кол-во точек поставки, шт.</t>
  </si>
  <si>
    <t>Количество точек поставки:</t>
  </si>
  <si>
    <t>Вводные устройства в многоквартирные дома</t>
  </si>
  <si>
    <t>Бесхозяйные обьекты электросетевого хозяйства</t>
  </si>
  <si>
    <t>Всего:</t>
  </si>
  <si>
    <t>2</t>
  </si>
  <si>
    <t>4</t>
  </si>
  <si>
    <t>5</t>
  </si>
  <si>
    <t>6</t>
  </si>
  <si>
    <t>в т.ч. приборы учета с возможностью дистанционного сбора данных</t>
  </si>
  <si>
    <t>с разбивкой на:</t>
  </si>
  <si>
    <t>Республика Башкортостан</t>
  </si>
  <si>
    <t>1.2 Количество  точек  поставки  всего  и  точек  поставки,  оборудованных  приборами  учета электрической  энергии</t>
  </si>
  <si>
    <t>ВЛ - СН2 (1-20кВ)</t>
  </si>
  <si>
    <t>КЛ - СН2 (1-20кВ)</t>
  </si>
  <si>
    <t>ВЛ - НН (до 1кВ)</t>
  </si>
  <si>
    <t>КЛ - НН (до 1кВ)</t>
  </si>
  <si>
    <t xml:space="preserve">ТП </t>
  </si>
  <si>
    <t>км</t>
  </si>
  <si>
    <t>шт.</t>
  </si>
  <si>
    <t>1.4 Уровень физического износа объектов электросетевого хозяйства ООО "ГИП-Электро"</t>
  </si>
  <si>
    <t>наименование объекта электросетевого хозяйства</t>
  </si>
  <si>
    <t>динамика изменения в %</t>
  </si>
  <si>
    <t>ТП-10/0,4</t>
  </si>
  <si>
    <t>ОП с. Архангельское</t>
  </si>
  <si>
    <t>Техническое перевооружение и реконструкция объектов;</t>
  </si>
  <si>
    <t>Мероприятия по подготовке электрических сетей к работе в осенне-зимний период</t>
  </si>
  <si>
    <t>Техническое перевооружение и реконструкция объектов; Мероприятия по подготовке электрических сетей к работе в осенне-зимний период; Капитальный ремонт</t>
  </si>
  <si>
    <t>Капитальный ремонт</t>
  </si>
  <si>
    <t>ОП с. Стерлибашево</t>
  </si>
  <si>
    <t>ОП с. Большеустьикинское</t>
  </si>
  <si>
    <t>ОП с. В.Киги</t>
  </si>
  <si>
    <t>ОП с. Магинск</t>
  </si>
  <si>
    <t>ОП с. Новобелокатай</t>
  </si>
  <si>
    <t>ОП с. Шаран</t>
  </si>
  <si>
    <t>ОП г. Белебей</t>
  </si>
  <si>
    <t>ОП г. Мелеуз</t>
  </si>
  <si>
    <t>ОП с. К.Мияки</t>
  </si>
  <si>
    <t>ОП с. Федоровка</t>
  </si>
  <si>
    <t>ОП с. Красноусольский</t>
  </si>
  <si>
    <t xml:space="preserve">Мероприятия не проводились. </t>
  </si>
  <si>
    <t>Архангельское</t>
  </si>
  <si>
    <t>Белокатай</t>
  </si>
  <si>
    <t>Киги</t>
  </si>
  <si>
    <t>К. Мияки</t>
  </si>
  <si>
    <t>Красноусольск</t>
  </si>
  <si>
    <t>Мелеуз</t>
  </si>
  <si>
    <t>Стерлибашево</t>
  </si>
  <si>
    <t>Федоровка</t>
  </si>
  <si>
    <t>Шаран</t>
  </si>
  <si>
    <t>1. На сайте ООО "ГИП-Электро" создали возможность подачи заявки в электронной форме посредствам личного кабинета. Возможность следить за статусом исполнения заявки. Возможность личной переписки между сетевой организацией и заявителем.</t>
  </si>
  <si>
    <t>ОП с.Новобелокатай</t>
  </si>
  <si>
    <t>Пункт обслуживания</t>
  </si>
  <si>
    <t>452580, Белокатайский район, с.Новобелокатай, ул.Советская, 174</t>
  </si>
  <si>
    <t>(34750) 2-22-72</t>
  </si>
  <si>
    <t>пн.-пт. 8.00-17.00, обед 12.00-13.00 </t>
  </si>
  <si>
    <t>Передача и распределение электрической энергии.</t>
  </si>
  <si>
    <t>ОП с.Магинск</t>
  </si>
  <si>
    <t>452373, Караидельский район, с.Магинск, ул.Коммунистическая, 31</t>
  </si>
  <si>
    <t>(34744) 2-31-13</t>
  </si>
  <si>
    <t>ОП с.Большеустьикинское</t>
  </si>
  <si>
    <t>452550, Мечетлинский район, с.Большеустьикинское, ул.Революционная, 94</t>
  </si>
  <si>
    <t>(34770) 2-02-66</t>
  </si>
  <si>
    <t>ОП с.Стерлибашево</t>
  </si>
  <si>
    <t>453180, Стерлибашевский район, с.Стерлибашево, ул.Галеева, 1а</t>
  </si>
  <si>
    <t>(34739) 2-21-51</t>
  </si>
  <si>
    <t>ОП с.Шаран</t>
  </si>
  <si>
    <t>(34769) 3-05-08</t>
  </si>
  <si>
    <t>ОП г.Белебей</t>
  </si>
  <si>
    <t>452004, Белебеевский р-н, г.Белебей, ул.Восточная, 79</t>
  </si>
  <si>
    <t>(3478)65-39-82</t>
  </si>
  <si>
    <t>ОП с.В.Киги</t>
  </si>
  <si>
    <t>(34748) 3-07-20</t>
  </si>
  <si>
    <t>ОП с.Архангельское</t>
  </si>
  <si>
    <t>453030,Архангельский р-н, с.Архангельское, ул.Советская 41</t>
  </si>
  <si>
    <t>(34774) 2-25-93</t>
  </si>
  <si>
    <t>ОП г.Мелеуз</t>
  </si>
  <si>
    <t>(34764) 3-34-44</t>
  </si>
  <si>
    <t>(34788) 30-7-90</t>
  </si>
  <si>
    <t>ОП с.Красноусольский</t>
  </si>
  <si>
    <t>453050, Гафурийский р-н, с.Красноусольский, ул.Коммунистическая, 10</t>
  </si>
  <si>
    <t xml:space="preserve">(34740) 2-69-98 </t>
  </si>
  <si>
    <t>ОП с.Федоровка</t>
  </si>
  <si>
    <t>453280, Федоровский р-н, с.Федоровка, ул.Коммунистическая, 72</t>
  </si>
  <si>
    <t>(34746) 2-10-50</t>
  </si>
  <si>
    <t xml:space="preserve"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пунктом)_x000D_
_x000D_
</t>
  </si>
  <si>
    <t xml:space="preserve"> На официальном сайте ООО "ГИП-Электро" в сети Интернет, имеется интерактивный инструмент, который позволяет автоматически рассчитывать стоимость технологического присоединения при вводе параметров, предусмотренных настоящим пунктом)
</t>
  </si>
  <si>
    <t>4. Разработан и установлен интерактивный калькулятор расчета необходимой максимальной мощности для присоединяемого объекта заявителя.</t>
  </si>
  <si>
    <t>452630, Шаранский район, с.Шаран, ул.Чапаева, 63</t>
  </si>
  <si>
    <t>6. Головной офис и обособленные подразделения ООО "ГИП-Электро" оборудованны информационными стендами.</t>
  </si>
  <si>
    <t>5. Оказываются платные услуги потребителям в части реализации приборов учета электрической энергии,  материалов и их монтажа.</t>
  </si>
  <si>
    <t>2. Увеличение штата инженеров службы технологического присоединения в обособленных подразделениях.</t>
  </si>
  <si>
    <t xml:space="preserve"> Разработан и установлен интерактивный калькулятор расчета необходимой максимальной мощности для присоединяемого объекта заявителя.</t>
  </si>
  <si>
    <t xml:space="preserve"> Оказываются платные услуги потребителям в части реализации приборов учета электрической энергии,  материалов и их монтажа.</t>
  </si>
  <si>
    <t xml:space="preserve"> Головной офис и обособленные подразделения ООО "ГИП-Электро" оборудованны информационными стендами.</t>
  </si>
  <si>
    <t xml:space="preserve"> Обновление "Положений о взаимоотношения с потребителями".</t>
  </si>
  <si>
    <t>- центр питания — распределительное устройство генераторного напряжения электростанции или</t>
  </si>
  <si>
    <t>распределительное устройство вторичного напряжения понизительной подстанции энергосистемы, к</t>
  </si>
  <si>
    <t>которым присоединены распределительные сети данного района;</t>
  </si>
  <si>
    <t>3. Организован процес получения договора энергоснабжения по принципу одного окна.</t>
  </si>
  <si>
    <t>452080, Миякинский р-н, с.Киргиз-Мияки, ул.Г.Гумера, д.1</t>
  </si>
  <si>
    <t>минуты</t>
  </si>
  <si>
    <t>Оказываются платные услуги потребителям в части реализации приборов учета электрической энергии,  материалов и их монтажа.</t>
  </si>
  <si>
    <t>фл</t>
  </si>
  <si>
    <t>лично</t>
  </si>
  <si>
    <t>да</t>
  </si>
  <si>
    <t>нет</t>
  </si>
  <si>
    <t>отказался</t>
  </si>
  <si>
    <t>Гарифуллин Р.Н.</t>
  </si>
  <si>
    <t>личо</t>
  </si>
  <si>
    <t>Тулебаев А.Р.</t>
  </si>
  <si>
    <t>Сомова Л.С.</t>
  </si>
  <si>
    <t>Вопрос 1</t>
  </si>
  <si>
    <t>Категория опрошенных заявителей</t>
  </si>
  <si>
    <t>Безрукова Е.М.</t>
  </si>
  <si>
    <t>юридическое лицо</t>
  </si>
  <si>
    <t>Мазитов Р.Б.</t>
  </si>
  <si>
    <t>индивидуальный предприниматель</t>
  </si>
  <si>
    <t>Сулейманов А.Н.</t>
  </si>
  <si>
    <t>физическое лицо</t>
  </si>
  <si>
    <t>Мурзагулов А.А.</t>
  </si>
  <si>
    <t>Безруков И.А.</t>
  </si>
  <si>
    <t>Чернов В.А.</t>
  </si>
  <si>
    <t>Голованов В.А.</t>
  </si>
  <si>
    <t>Абдрахманов А.С.</t>
  </si>
  <si>
    <t>Козлова Т.В.</t>
  </si>
  <si>
    <t>Губачев С.Ю.</t>
  </si>
  <si>
    <t>Михайленко С.А.</t>
  </si>
  <si>
    <t>Асадуллин А.С.</t>
  </si>
  <si>
    <t>ИП Булатова Р.Ф.</t>
  </si>
  <si>
    <t>ип</t>
  </si>
  <si>
    <t>Федоров А.Е.</t>
  </si>
  <si>
    <t>Ахкямов М.Б.</t>
  </si>
  <si>
    <t>Смольников Г.П.</t>
  </si>
  <si>
    <t>Гаспарян А.М.</t>
  </si>
  <si>
    <t>Зайнетдинов В.З.</t>
  </si>
  <si>
    <t>Галимова Н.Б.</t>
  </si>
  <si>
    <t>Галимова Р.Р.</t>
  </si>
  <si>
    <t>Окунцев Е.А.</t>
  </si>
  <si>
    <t>Хисамов И.З.</t>
  </si>
  <si>
    <t>Галлямова Р.С.</t>
  </si>
  <si>
    <t>Кинзябаева З.Т.</t>
  </si>
  <si>
    <t>Абзалов Э.А.</t>
  </si>
  <si>
    <t>Хайрзаманов Ш.Р.</t>
  </si>
  <si>
    <t>Ахъямов С.М.</t>
  </si>
  <si>
    <t>Хайруллин И.Р.</t>
  </si>
  <si>
    <t>Николаева И.Р.</t>
  </si>
  <si>
    <t>Зулькарняев Ф.А.</t>
  </si>
  <si>
    <t>Юсупов А.Г.</t>
  </si>
  <si>
    <t>Гайфуллин А.А.</t>
  </si>
  <si>
    <t>Байрамгулова А.М.</t>
  </si>
  <si>
    <t>Мухаметдинов Р.Ш.</t>
  </si>
  <si>
    <t>Гинниятуллин В.Б.</t>
  </si>
  <si>
    <t>Уровень обслуживания (доброжелательность и компетентность)</t>
  </si>
  <si>
    <t>Шарафутдинова Г.Ф.</t>
  </si>
  <si>
    <t>затрудняюсь ответить</t>
  </si>
  <si>
    <t>Кирханов И.М.</t>
  </si>
  <si>
    <t>все на высшем уровне</t>
  </si>
  <si>
    <t>Коровина О.Ю</t>
  </si>
  <si>
    <t>хорошее</t>
  </si>
  <si>
    <t>Гибадуллина Г.В.</t>
  </si>
  <si>
    <t xml:space="preserve"> удовлетворительное</t>
  </si>
  <si>
    <t>Хаертдинов Ф.Ф.</t>
  </si>
  <si>
    <t>плохое</t>
  </si>
  <si>
    <t>Гибадуллин М.М.</t>
  </si>
  <si>
    <t>ужасное</t>
  </si>
  <si>
    <t>Ахмадуллин Р.И.</t>
  </si>
  <si>
    <t>юл</t>
  </si>
  <si>
    <t>Руднев П.П.</t>
  </si>
  <si>
    <t>Сафин В.В.</t>
  </si>
  <si>
    <t>Латыпова А.И.</t>
  </si>
  <si>
    <t>Галиуллина Ю.Р.</t>
  </si>
  <si>
    <t>Фархиуллина А.А.</t>
  </si>
  <si>
    <t>Хурматуллин А.Р.</t>
  </si>
  <si>
    <t>Мурзабаева А.Р.</t>
  </si>
  <si>
    <t>Хайруллина Р.Г.</t>
  </si>
  <si>
    <t>Кирамова Э.Ф.</t>
  </si>
  <si>
    <t>Набиуллина Н.Д.</t>
  </si>
  <si>
    <t>Шарафисламова А.А.</t>
  </si>
  <si>
    <t>Кузич С.В.</t>
  </si>
  <si>
    <t>Хисамутдинов Д.В.</t>
  </si>
  <si>
    <t>Дильмухаметова И.И.</t>
  </si>
  <si>
    <t>Гатауллин А.Ф.</t>
  </si>
  <si>
    <t>Галиева А.А.</t>
  </si>
  <si>
    <t>Арсланов М.Н.</t>
  </si>
  <si>
    <t>Набиуллина Л.Ф.</t>
  </si>
  <si>
    <t>Туктарова Г.Д.</t>
  </si>
  <si>
    <t>Федорова И.В.</t>
  </si>
  <si>
    <t>Ахметов Р.Г.</t>
  </si>
  <si>
    <t>Зиминов С.С.</t>
  </si>
  <si>
    <t>Киргиз-Мияки</t>
  </si>
  <si>
    <t>Сафаров Р.Р.</t>
  </si>
  <si>
    <t>Гатин Дамир Г.</t>
  </si>
  <si>
    <t>Гарифуллин А.Р.</t>
  </si>
  <si>
    <t>Таймасов Ф.М.</t>
  </si>
  <si>
    <t>Хабирова З.М.</t>
  </si>
  <si>
    <t>Абдуллин Д.И.</t>
  </si>
  <si>
    <t>Сафина В.В. 
Представитель потребителя Габдуллина И.Р.</t>
  </si>
  <si>
    <t>Маннапов Р.Х.</t>
  </si>
  <si>
    <t>Кулыев Р.Р.</t>
  </si>
  <si>
    <t>Вопрос 7</t>
  </si>
  <si>
    <t>Качество выполненных работ</t>
  </si>
  <si>
    <t>Бахтияров Ф.А.</t>
  </si>
  <si>
    <t>Гатин Динар Г.</t>
  </si>
  <si>
    <t>отличное качество</t>
  </si>
  <si>
    <t>Хабиров А.Ф.</t>
  </si>
  <si>
    <t>Ахметшин Р.Г.</t>
  </si>
  <si>
    <t>Мусин И.И.</t>
  </si>
  <si>
    <t>Аслаев Ф.Х.</t>
  </si>
  <si>
    <t>Гарифьянова Л.Ф.</t>
  </si>
  <si>
    <t>Абдуллин Р.М.</t>
  </si>
  <si>
    <t>Ахмерова Р.К.</t>
  </si>
  <si>
    <t>Кашапов З.Т.</t>
  </si>
  <si>
    <t>Шарафутдинова Р.Я.</t>
  </si>
  <si>
    <t>Валиев Р.М.</t>
  </si>
  <si>
    <t>Габдрахманов А.Ф.</t>
  </si>
  <si>
    <t>Шигапов Ю.В.</t>
  </si>
  <si>
    <t>Нафикова Л.С.</t>
  </si>
  <si>
    <t>Канзафарова Г.З.</t>
  </si>
  <si>
    <t>Анпилогова Н.В.</t>
  </si>
  <si>
    <t>Пискунова А.Д.</t>
  </si>
  <si>
    <t>Кущ Е.Н.</t>
  </si>
  <si>
    <t>Султанова Ф.Г.</t>
  </si>
  <si>
    <t>Галимуллин В.В.</t>
  </si>
  <si>
    <t>Бахтияров И.Ф.</t>
  </si>
  <si>
    <t>Бутенко Ю.И.</t>
  </si>
  <si>
    <t>Каримов Р.Ш.</t>
  </si>
  <si>
    <t>Красноусольский</t>
  </si>
  <si>
    <t>Хусаинова З.Р.</t>
  </si>
  <si>
    <t>Габбасова Л.М.</t>
  </si>
  <si>
    <t>Рахимов Р.Р.</t>
  </si>
  <si>
    <t>Низамутдинов М.Ф.</t>
  </si>
  <si>
    <t>Локоленко А.В.</t>
  </si>
  <si>
    <t>Мухамедьянов С.М.</t>
  </si>
  <si>
    <t>Халимов А.Р.</t>
  </si>
  <si>
    <t>Валеева Н.Х.</t>
  </si>
  <si>
    <t>Нафиков И.И.</t>
  </si>
  <si>
    <t>Шаяхметов Ю.Р.</t>
  </si>
  <si>
    <t>Янмурзин Р.Р.</t>
  </si>
  <si>
    <t>Ахмедов Р.А.</t>
  </si>
  <si>
    <t>Мулюков Р.Н.</t>
  </si>
  <si>
    <t>Хуснутдинов А.Р.</t>
  </si>
  <si>
    <t>Халиков Э.Г.</t>
  </si>
  <si>
    <t>Масагутов Ф.М.</t>
  </si>
  <si>
    <t>Зимин А.И.</t>
  </si>
  <si>
    <t>Хисаметдинова Г.Г.</t>
  </si>
  <si>
    <t>Гумеров Р.Р.</t>
  </si>
  <si>
    <t>Дадонов С.М.</t>
  </si>
  <si>
    <t>Дильмухаметов И.Ф.</t>
  </si>
  <si>
    <t>Каримов С.М.</t>
  </si>
  <si>
    <t>Курмагулова Г.Х.</t>
  </si>
  <si>
    <t>Фахретдинова Р.Р.</t>
  </si>
  <si>
    <t>Сысойкин А.С.</t>
  </si>
  <si>
    <t>Вопрос 6</t>
  </si>
  <si>
    <t>Соблюдение сроков технологического присоединения</t>
  </si>
  <si>
    <t>Кравчук А.В.</t>
  </si>
  <si>
    <t>сроки были соблюдены</t>
  </si>
  <si>
    <t>Максютова З.З.</t>
  </si>
  <si>
    <t xml:space="preserve">было составлено доп. соглашение </t>
  </si>
  <si>
    <t>Журавлева Э.М.</t>
  </si>
  <si>
    <t>Акмурзин Р.А.</t>
  </si>
  <si>
    <t>Аминова О.В.</t>
  </si>
  <si>
    <t>Арсланова Р.Г.</t>
  </si>
  <si>
    <t>Ишкин О.С.</t>
  </si>
  <si>
    <t>Сираев И.Б.</t>
  </si>
  <si>
    <t>Ахметов А.Ф.</t>
  </si>
  <si>
    <t>Щенникова А.В.</t>
  </si>
  <si>
    <t>Альтапов И.Р.</t>
  </si>
  <si>
    <t>Утяганова И.А.</t>
  </si>
  <si>
    <t>Батыршин И.Ш.</t>
  </si>
  <si>
    <t>Столяров В.А.</t>
  </si>
  <si>
    <t>Гайнуллин Ю.Р.</t>
  </si>
  <si>
    <t>Юламанова С.М.</t>
  </si>
  <si>
    <t>Ялалов М.Б.</t>
  </si>
  <si>
    <t>Рамазанова З.Р.</t>
  </si>
  <si>
    <t>Лутфуллина Ф.Г.</t>
  </si>
  <si>
    <t>Нурисламов Д.А.</t>
  </si>
  <si>
    <t>Шкуратов А.В.</t>
  </si>
  <si>
    <t>Юнусова А.Г.</t>
  </si>
  <si>
    <t>Юнусов Н.М.</t>
  </si>
  <si>
    <t>Карамов Н.Р.</t>
  </si>
  <si>
    <t>Губайдуллин В.И.</t>
  </si>
  <si>
    <t>Сираева Г.М.</t>
  </si>
  <si>
    <t>Камалтдинов Т.В.</t>
  </si>
  <si>
    <t>Саитгалеева В.И.</t>
  </si>
  <si>
    <t>Чалаташвили В.Ш.</t>
  </si>
  <si>
    <t>Мустафин М.Р.</t>
  </si>
  <si>
    <t>Тарасова Л.У.</t>
  </si>
  <si>
    <t>Сафин У.М.</t>
  </si>
  <si>
    <t>Хакимова Р.Х.</t>
  </si>
  <si>
    <t>Ильясов А.Г.</t>
  </si>
  <si>
    <t>Валеев Г.М.</t>
  </si>
  <si>
    <t>Хатмуллин Ф.Р.</t>
  </si>
  <si>
    <t>Сулиманов Р.Р.</t>
  </si>
  <si>
    <t>Мухутдинов Р.Г.</t>
  </si>
  <si>
    <t>Мухаматьянова В.В.</t>
  </si>
  <si>
    <t>Галимзянов Э.Н.</t>
  </si>
  <si>
    <t>Вопрос 5</t>
  </si>
  <si>
    <t>Соблюдение сроков рассмотрения заявки</t>
  </si>
  <si>
    <t>Байгильдин Я.Ф.</t>
  </si>
  <si>
    <t>Валеев Ф.З.</t>
  </si>
  <si>
    <t>Нурлиева З.Г.</t>
  </si>
  <si>
    <t>срок был нарушен</t>
  </si>
  <si>
    <t>Кутлучурин А.А</t>
  </si>
  <si>
    <t>Альмухаметов И.Г.</t>
  </si>
  <si>
    <t>Сатаева А.С.</t>
  </si>
  <si>
    <t>Буркин С.С.</t>
  </si>
  <si>
    <t>Миключев Ю.М.</t>
  </si>
  <si>
    <t>Усович А.И.</t>
  </si>
  <si>
    <t>Давлетбердин А.З.</t>
  </si>
  <si>
    <t>Исмагилов Р.М.</t>
  </si>
  <si>
    <t>Каримова З.М.</t>
  </si>
  <si>
    <t>Утяшев И.М.</t>
  </si>
  <si>
    <t>Дедык В.С.</t>
  </si>
  <si>
    <t>Гисматуллина Л.Ф.</t>
  </si>
  <si>
    <t>Марванов Ф.Р.</t>
  </si>
  <si>
    <t>Алибаев Р.С.</t>
  </si>
  <si>
    <t>Фролова М.Н.</t>
  </si>
  <si>
    <t>Шангареев Т.Т.</t>
  </si>
  <si>
    <t>Ярмухаметов Р.Р.</t>
  </si>
  <si>
    <t>Виробян Д.Ж.</t>
  </si>
  <si>
    <t>Атнагулов Р.Р</t>
  </si>
  <si>
    <t>Иванцов П.Л.</t>
  </si>
  <si>
    <t>Мрясов И.Т.</t>
  </si>
  <si>
    <t>Денисов Н.А.</t>
  </si>
  <si>
    <t>Калимгулов А.Р.</t>
  </si>
  <si>
    <t>Кильдебаев А.Ф.</t>
  </si>
  <si>
    <t>Проскурин П.Е.</t>
  </si>
  <si>
    <t>Барлыбаева Л.Р.</t>
  </si>
  <si>
    <t>Данилов А.Г.</t>
  </si>
  <si>
    <t>МБДОУ д/с "Дружба"</t>
  </si>
  <si>
    <t>Матушкин А.С.</t>
  </si>
  <si>
    <t>Искандаров М.Г.</t>
  </si>
  <si>
    <t>Назаренко А.И.</t>
  </si>
  <si>
    <t>Макаров Р.В.</t>
  </si>
  <si>
    <t>Ишкинин А.А.</t>
  </si>
  <si>
    <t>Бураканова Р.Р.</t>
  </si>
  <si>
    <t>Наставшева М.В.</t>
  </si>
  <si>
    <t>Сараев И.А.</t>
  </si>
  <si>
    <t>Максимова О.Р.</t>
  </si>
  <si>
    <t>Гречишкин Е.Л.</t>
  </si>
  <si>
    <t>Игизбаев И.И.</t>
  </si>
  <si>
    <t>Женин А.А.</t>
  </si>
  <si>
    <t>Чепуров Ю.А.</t>
  </si>
  <si>
    <t>Новобелокатай</t>
  </si>
  <si>
    <t>Саедгалина Ю.М.</t>
  </si>
  <si>
    <t>Бекетов В.В.</t>
  </si>
  <si>
    <t>Фаттахова З.Х.</t>
  </si>
  <si>
    <t>Вопрос 4</t>
  </si>
  <si>
    <t>Крохалев А.С.</t>
  </si>
  <si>
    <t>информативно</t>
  </si>
  <si>
    <t>Патракова О.П.</t>
  </si>
  <si>
    <t>не информативно</t>
  </si>
  <si>
    <t>Ковина Г.А.</t>
  </si>
  <si>
    <t>Чирков А.О.</t>
  </si>
  <si>
    <t>Юлина И.В.</t>
  </si>
  <si>
    <t>Сабуров Н.А.</t>
  </si>
  <si>
    <t>Кустикова С.Г.</t>
  </si>
  <si>
    <t>Раянов И.И.</t>
  </si>
  <si>
    <t>Искандаров Р.Г.</t>
  </si>
  <si>
    <t>Ибатуллин И.Г.</t>
  </si>
  <si>
    <t>Хуббетдиинов Р.В.</t>
  </si>
  <si>
    <t>Фаткуллина С.В.</t>
  </si>
  <si>
    <t>Исанбитов А.А.</t>
  </si>
  <si>
    <t>Аглиуллин Р.Х.</t>
  </si>
  <si>
    <t>Галиев Р.Я.</t>
  </si>
  <si>
    <t>Саяхов Д.Ю.</t>
  </si>
  <si>
    <t>Тарасова Н.С.</t>
  </si>
  <si>
    <t>Ибатуллина Г.Холмуратовна</t>
  </si>
  <si>
    <t>Гилязетдинова Г.Наилевна</t>
  </si>
  <si>
    <t>Мурсалимова Л.Рафисовна</t>
  </si>
  <si>
    <t>Юсупов С.Р.</t>
  </si>
  <si>
    <t>Аюпова Т.Т.</t>
  </si>
  <si>
    <t>Ардаширова Л.Н.</t>
  </si>
  <si>
    <t>Тухватуллина Ш.Ш.</t>
  </si>
  <si>
    <t>Загидуллин А.М.</t>
  </si>
  <si>
    <t>Камалетдинова Р.И.</t>
  </si>
  <si>
    <t>Денисова Р.Л.</t>
  </si>
  <si>
    <t>Юсупов Н.З.</t>
  </si>
  <si>
    <t>Хайруллин В.З.</t>
  </si>
  <si>
    <t>Яушев Р.Р.</t>
  </si>
  <si>
    <r>
      <t xml:space="preserve">ООО «Теплый дом»
</t>
    </r>
    <r>
      <rPr>
        <sz val="9"/>
        <rFont val="Times New Roman"/>
        <family val="1"/>
        <charset val="204"/>
      </rPr>
      <t xml:space="preserve">Тырова О.П </t>
    </r>
  </si>
  <si>
    <t>Талаев А.А.</t>
  </si>
  <si>
    <t>Горшечников А.А.</t>
  </si>
  <si>
    <t>Халитов Г.Г.</t>
  </si>
  <si>
    <t>Файзуллина Н.В.</t>
  </si>
  <si>
    <t>Турбин Л.В.</t>
  </si>
  <si>
    <t>Кузьмина В.Т</t>
  </si>
  <si>
    <t xml:space="preserve"> </t>
  </si>
  <si>
    <t>Бормотин Н.С.</t>
  </si>
  <si>
    <t>Варданян В.Л.</t>
  </si>
  <si>
    <t>Митюков И.А.</t>
  </si>
  <si>
    <t>Попович Ю.Д.</t>
  </si>
  <si>
    <t>Кадырова Г.Я</t>
  </si>
  <si>
    <t>Хабибуллина Г.М.</t>
  </si>
  <si>
    <t>Петрова В.Л.</t>
  </si>
  <si>
    <t>Нурлыгаянов И.А.</t>
  </si>
  <si>
    <t>Занин С.И.</t>
  </si>
  <si>
    <t>Горшенина А.А.</t>
  </si>
  <si>
    <t xml:space="preserve">лично </t>
  </si>
  <si>
    <t>Шлентов Ю.А.</t>
  </si>
  <si>
    <t>Дашкин Р.Н.</t>
  </si>
  <si>
    <t>Живаева Д.М.</t>
  </si>
  <si>
    <t>Манзурова И.С.</t>
  </si>
  <si>
    <t>Павлов Л.Р.</t>
  </si>
  <si>
    <t>Аитов Р.М.</t>
  </si>
  <si>
    <t>Бакиев Г.К.</t>
  </si>
  <si>
    <t>Ишниязова В.К.</t>
  </si>
  <si>
    <t>Кунафин Т.Ф.</t>
  </si>
  <si>
    <t>Федоров В.А.</t>
  </si>
  <si>
    <t>Сайкин А.В.</t>
  </si>
  <si>
    <t>Сайкин М.В.</t>
  </si>
  <si>
    <t>Шлентов П.Ф.</t>
  </si>
  <si>
    <t>Журавлев Р.Н.</t>
  </si>
  <si>
    <t>Салимгареева О.С.</t>
  </si>
  <si>
    <t>Салимгареева Т.Н.</t>
  </si>
  <si>
    <t>Хафизов Ф.Р.</t>
  </si>
  <si>
    <t>Алсынбаев А.В</t>
  </si>
  <si>
    <t>Гильванов Р.М.</t>
  </si>
  <si>
    <t>Давлетгареев К.Р</t>
  </si>
  <si>
    <t>Давлетова Н.М.</t>
  </si>
  <si>
    <t>Кашапов К.Ф.</t>
  </si>
  <si>
    <t>Ульданова Г.Р.</t>
  </si>
  <si>
    <t>Закиров Р.Г.</t>
  </si>
  <si>
    <t>Гаврилова М.М</t>
  </si>
  <si>
    <t>Газизова А.Ю.</t>
  </si>
  <si>
    <t>Гареева Ф.М.</t>
  </si>
  <si>
    <t>Гайсин В.Ю.</t>
  </si>
  <si>
    <t>Самигуллина Р.Р.</t>
  </si>
  <si>
    <t>Халиуллин И.С.</t>
  </si>
  <si>
    <t>Мануров Р.Р.</t>
  </si>
  <si>
    <t>Ахметов М.Х.</t>
  </si>
  <si>
    <t>Вопрос 3</t>
  </si>
  <si>
    <r>
      <rPr>
        <b/>
        <sz val="11"/>
        <color theme="1"/>
        <rFont val="Times New Roman"/>
        <family val="1"/>
        <charset val="204"/>
      </rPr>
      <t>Удобство способа подачи заявки на оказание услуги</t>
    </r>
    <r>
      <rPr>
        <sz val="11"/>
        <color theme="1"/>
        <rFont val="Times New Roman"/>
        <family val="1"/>
        <charset val="204"/>
      </rPr>
      <t xml:space="preserve">
</t>
    </r>
  </si>
  <si>
    <t>Исмагилов И.Н.</t>
  </si>
  <si>
    <t>не удобно</t>
  </si>
  <si>
    <t>нормально</t>
  </si>
  <si>
    <t>удобно</t>
  </si>
  <si>
    <t>очень удобно</t>
  </si>
  <si>
    <t xml:space="preserve"> Организован процес получения договора энергоснабжения по принципу одного окна.</t>
  </si>
  <si>
    <t>1. В сетях ООО "ГИП-Электро" отсутствуют центры питания напряжением 35кВ и выше.</t>
  </si>
  <si>
    <t>2018 г.</t>
  </si>
  <si>
    <t>Общая информация о сетевой организации ООО "ГИП-Электро"</t>
  </si>
  <si>
    <t>Все точки поставки оборудованы приборами учета электрической энергии</t>
  </si>
  <si>
    <t>Категории обращений потребителей</t>
  </si>
  <si>
    <t>единицы измерения (шт., км)</t>
  </si>
  <si>
    <t>ВЛ-0,4кВ</t>
  </si>
  <si>
    <t>ВЛ-10кВ</t>
  </si>
  <si>
    <t>КЛ-0,4кВ</t>
  </si>
  <si>
    <t>КЛ-10кВ</t>
  </si>
  <si>
    <r>
      <rPr>
        <b/>
        <sz val="12"/>
        <color theme="1"/>
        <rFont val="Times New Roman"/>
        <family val="1"/>
        <charset val="204"/>
      </rPr>
      <t>2. Информация о качестве услуг по передаче
электрической энергии</t>
    </r>
    <r>
      <rPr>
        <sz val="11"/>
        <color theme="1"/>
        <rFont val="Times New Roman"/>
        <family val="1"/>
        <charset val="204"/>
      </rPr>
      <t xml:space="preserve">
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
</t>
    </r>
  </si>
  <si>
    <t xml:space="preserve">Показатель средней продолжительности прекращений передачи электрической энергии, (П SAIDI) </t>
  </si>
  <si>
    <t>пн.-пт. 8.30-17.30, обед 12.00-13.00 </t>
  </si>
  <si>
    <t>Информативность материалов на сайте</t>
  </si>
  <si>
    <t>Вопрос 2</t>
  </si>
  <si>
    <t>2019г.</t>
  </si>
  <si>
    <t xml:space="preserve"> Информация о качестве обслуживания потребителей услуг за  2019год   
ООО "ГИП-Электро"  
Республика Башкортостан                                </t>
  </si>
  <si>
    <t>2019 г.</t>
  </si>
  <si>
    <t>Оказываются платные услуги потребителям в части переоформления документов о технологическом присоединении.</t>
  </si>
  <si>
    <r>
      <t xml:space="preserve">Отчет </t>
    </r>
    <r>
      <rPr>
        <b/>
        <sz val="14"/>
        <color theme="1"/>
        <rFont val="Times New Roman"/>
        <family val="1"/>
        <charset val="204"/>
      </rPr>
      <t xml:space="preserve">общий </t>
    </r>
    <r>
      <rPr>
        <sz val="14"/>
        <color theme="1"/>
        <rFont val="Times New Roman"/>
        <family val="1"/>
        <charset val="204"/>
      </rPr>
      <t>за</t>
    </r>
    <r>
      <rPr>
        <u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 2019 год
по результатам проведенного опроса заявителей, осуществивших технологическое присоединение.
</t>
    </r>
  </si>
  <si>
    <t>1.3. Информация об объектах электросетевого хозяйства ООО "ГИП-Электро" за 2019год</t>
  </si>
  <si>
    <t>% износа по состоянию на 01.01.2020г.</t>
  </si>
  <si>
    <t>% износа по состоянию на 01.01.2019г.</t>
  </si>
  <si>
    <t>№п/п</t>
  </si>
  <si>
    <t>оказание услуг по передаче электрической энергии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</si>
  <si>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2019году</t>
  </si>
  <si>
    <t xml:space="preserve">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</si>
  <si>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4.1 Качество обслуживания</t>
  </si>
  <si>
    <t>ОП с.Киргиз-Мияки</t>
  </si>
  <si>
    <t>453854, Мелеузовский р-н, г.Мелеуз, ул.Ленина,3</t>
  </si>
  <si>
    <t>452500, Кигинский р-н, с.Верхние Киги, ул. Ибрагимова,14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</si>
</sst>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28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rgb="FF000000"/>
      <name val="Yandex-sans"/>
    </font>
    <font>
      <b/>
      <sz val="11"/>
      <color rgb="FF3F3F3F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75A4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8" fillId="8" borderId="15" applyNumberFormat="0" applyAlignment="0" applyProtection="0"/>
    <xf numFmtId="43" fontId="26" fillId="0" borderId="0" applyFont="0" applyFill="0" applyBorder="0" applyAlignment="0" applyProtection="0"/>
  </cellStyleXfs>
  <cellXfs count="357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6" fillId="0" borderId="0" xfId="0" applyFont="1"/>
    <xf numFmtId="0" fontId="6" fillId="0" borderId="2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justify" vertical="top" wrapText="1"/>
    </xf>
    <xf numFmtId="1" fontId="6" fillId="0" borderId="2" xfId="0" applyNumberFormat="1" applyFont="1" applyBorder="1" applyAlignment="1">
      <alignment horizontal="center" vertical="top" wrapText="1"/>
    </xf>
    <xf numFmtId="0" fontId="6" fillId="0" borderId="0" xfId="0" applyNumberFormat="1" applyFont="1" applyAlignment="1">
      <alignment wrapText="1"/>
    </xf>
    <xf numFmtId="0" fontId="6" fillId="0" borderId="2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6" fillId="3" borderId="2" xfId="0" applyFont="1" applyFill="1" applyBorder="1" applyAlignment="1">
      <alignment horizontal="justify" vertical="top" wrapText="1"/>
    </xf>
    <xf numFmtId="1" fontId="6" fillId="3" borderId="2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right" vertical="top" wrapText="1"/>
    </xf>
    <xf numFmtId="164" fontId="6" fillId="0" borderId="2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4" borderId="2" xfId="0" applyFont="1" applyFill="1" applyBorder="1" applyAlignment="1">
      <alignment horizontal="justify" vertical="top" wrapText="1"/>
    </xf>
    <xf numFmtId="0" fontId="6" fillId="4" borderId="0" xfId="0" applyFont="1" applyFill="1"/>
    <xf numFmtId="1" fontId="6" fillId="4" borderId="2" xfId="0" applyNumberFormat="1" applyFont="1" applyFill="1" applyBorder="1" applyAlignment="1">
      <alignment horizontal="center" vertical="top" wrapText="1"/>
    </xf>
    <xf numFmtId="16" fontId="6" fillId="0" borderId="2" xfId="0" applyNumberFormat="1" applyFont="1" applyBorder="1" applyAlignment="1">
      <alignment horizontal="center" vertical="top" wrapText="1"/>
    </xf>
    <xf numFmtId="49" fontId="6" fillId="0" borderId="0" xfId="0" applyNumberFormat="1" applyFont="1"/>
    <xf numFmtId="49" fontId="6" fillId="4" borderId="2" xfId="0" applyNumberFormat="1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right" vertical="top" wrapText="1"/>
    </xf>
    <xf numFmtId="0" fontId="6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justify"/>
    </xf>
    <xf numFmtId="0" fontId="3" fillId="0" borderId="2" xfId="0" applyFont="1" applyBorder="1" applyAlignment="1">
      <alignment vertical="top" wrapText="1"/>
    </xf>
    <xf numFmtId="16" fontId="3" fillId="4" borderId="2" xfId="0" applyNumberFormat="1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justify" vertical="top" wrapText="1"/>
    </xf>
    <xf numFmtId="0" fontId="3" fillId="4" borderId="0" xfId="0" applyFont="1" applyFill="1"/>
    <xf numFmtId="16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top" wrapText="1"/>
    </xf>
    <xf numFmtId="14" fontId="3" fillId="4" borderId="2" xfId="0" applyNumberFormat="1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left" vertical="top" wrapText="1"/>
    </xf>
    <xf numFmtId="14" fontId="6" fillId="0" borderId="2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/>
    </xf>
    <xf numFmtId="14" fontId="6" fillId="0" borderId="2" xfId="0" applyNumberFormat="1" applyFont="1" applyBorder="1" applyAlignment="1">
      <alignment horizontal="right" vertical="center"/>
    </xf>
    <xf numFmtId="0" fontId="6" fillId="0" borderId="2" xfId="0" applyNumberFormat="1" applyFont="1" applyBorder="1" applyAlignment="1">
      <alignment vertical="center" wrapText="1"/>
    </xf>
    <xf numFmtId="0" fontId="3" fillId="5" borderId="2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vertical="top" wrapText="1"/>
    </xf>
    <xf numFmtId="1" fontId="3" fillId="5" borderId="2" xfId="0" applyNumberFormat="1" applyFont="1" applyFill="1" applyBorder="1" applyAlignment="1">
      <alignment horizontal="center" vertical="top" wrapText="1"/>
    </xf>
    <xf numFmtId="16" fontId="3" fillId="5" borderId="2" xfId="0" applyNumberFormat="1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justify"/>
    </xf>
    <xf numFmtId="16" fontId="11" fillId="0" borderId="0" xfId="0" applyNumberFormat="1" applyFont="1"/>
    <xf numFmtId="0" fontId="6" fillId="0" borderId="2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/>
    <xf numFmtId="49" fontId="6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3" fillId="0" borderId="0" xfId="0" applyFont="1" applyBorder="1" applyAlignment="1">
      <alignment vertical="top" wrapText="1"/>
    </xf>
    <xf numFmtId="0" fontId="13" fillId="0" borderId="2" xfId="0" applyFont="1" applyBorder="1" applyAlignment="1">
      <alignment horizontal="justify" vertical="top" wrapText="1"/>
    </xf>
    <xf numFmtId="0" fontId="13" fillId="0" borderId="2" xfId="0" applyFont="1" applyBorder="1" applyAlignment="1">
      <alignment vertical="top" wrapText="1"/>
    </xf>
    <xf numFmtId="0" fontId="15" fillId="0" borderId="2" xfId="1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/>
    </xf>
    <xf numFmtId="0" fontId="12" fillId="0" borderId="0" xfId="0" applyFont="1" applyFill="1" applyBorder="1" applyAlignment="1">
      <alignment vertical="center" wrapText="1"/>
    </xf>
    <xf numFmtId="3" fontId="0" fillId="0" borderId="0" xfId="0" applyNumberFormat="1" applyBorder="1" applyAlignment="1">
      <alignment horizontal="center" vertical="center" wrapText="1"/>
    </xf>
    <xf numFmtId="0" fontId="6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vertical="top" wrapText="1"/>
    </xf>
    <xf numFmtId="0" fontId="3" fillId="7" borderId="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vertical="top" wrapText="1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2" fontId="6" fillId="0" borderId="0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17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justify" vertical="center"/>
    </xf>
    <xf numFmtId="0" fontId="22" fillId="9" borderId="16" xfId="3" applyFont="1" applyFill="1" applyBorder="1" applyAlignment="1">
      <alignment horizontal="center" vertical="center"/>
    </xf>
    <xf numFmtId="0" fontId="3" fillId="10" borderId="17" xfId="3" applyFont="1" applyFill="1" applyBorder="1" applyAlignment="1">
      <alignment horizontal="center" vertical="center"/>
    </xf>
    <xf numFmtId="0" fontId="3" fillId="10" borderId="17" xfId="0" applyFont="1" applyFill="1" applyBorder="1" applyAlignment="1">
      <alignment horizontal="center" vertical="center"/>
    </xf>
    <xf numFmtId="0" fontId="22" fillId="9" borderId="19" xfId="3" applyFont="1" applyFill="1" applyBorder="1" applyAlignment="1">
      <alignment horizontal="center" vertical="center"/>
    </xf>
    <xf numFmtId="0" fontId="3" fillId="10" borderId="20" xfId="3" applyFont="1" applyFill="1" applyBorder="1" applyAlignment="1">
      <alignment horizontal="center" vertical="center"/>
    </xf>
    <xf numFmtId="0" fontId="3" fillId="10" borderId="20" xfId="0" applyFont="1" applyFill="1" applyBorder="1" applyAlignment="1">
      <alignment horizontal="center" vertical="center"/>
    </xf>
    <xf numFmtId="0" fontId="3" fillId="10" borderId="21" xfId="3" applyFont="1" applyFill="1" applyBorder="1" applyAlignment="1">
      <alignment horizontal="center" vertical="center"/>
    </xf>
    <xf numFmtId="0" fontId="3" fillId="10" borderId="21" xfId="0" applyFont="1" applyFill="1" applyBorder="1" applyAlignment="1">
      <alignment horizontal="center" vertical="center"/>
    </xf>
    <xf numFmtId="0" fontId="3" fillId="11" borderId="2" xfId="3" applyFont="1" applyFill="1" applyBorder="1" applyAlignment="1">
      <alignment horizontal="left" vertical="center"/>
    </xf>
    <xf numFmtId="14" fontId="3" fillId="11" borderId="2" xfId="3" applyNumberFormat="1" applyFont="1" applyFill="1" applyBorder="1" applyAlignment="1">
      <alignment horizontal="center" vertical="center"/>
    </xf>
    <xf numFmtId="0" fontId="3" fillId="11" borderId="2" xfId="3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3" fillId="12" borderId="2" xfId="3" applyFont="1" applyFill="1" applyBorder="1" applyAlignment="1">
      <alignment horizontal="left" vertical="center"/>
    </xf>
    <xf numFmtId="14" fontId="3" fillId="12" borderId="2" xfId="3" applyNumberFormat="1" applyFont="1" applyFill="1" applyBorder="1" applyAlignment="1">
      <alignment horizontal="center" vertical="center"/>
    </xf>
    <xf numFmtId="0" fontId="3" fillId="12" borderId="2" xfId="3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13" borderId="2" xfId="3" applyFont="1" applyFill="1" applyBorder="1" applyAlignment="1">
      <alignment horizontal="left" vertical="center"/>
    </xf>
    <xf numFmtId="14" fontId="3" fillId="13" borderId="2" xfId="3" applyNumberFormat="1" applyFont="1" applyFill="1" applyBorder="1" applyAlignment="1">
      <alignment horizontal="center" vertical="center"/>
    </xf>
    <xf numFmtId="0" fontId="3" fillId="13" borderId="2" xfId="3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3" fillId="10" borderId="23" xfId="3" applyFont="1" applyFill="1" applyBorder="1" applyAlignment="1">
      <alignment horizontal="left" vertical="center"/>
    </xf>
    <xf numFmtId="14" fontId="3" fillId="10" borderId="23" xfId="3" applyNumberFormat="1" applyFont="1" applyFill="1" applyBorder="1" applyAlignment="1">
      <alignment horizontal="center" vertical="center"/>
    </xf>
    <xf numFmtId="0" fontId="3" fillId="10" borderId="23" xfId="3" applyFont="1" applyFill="1" applyBorder="1" applyAlignment="1">
      <alignment horizontal="center" vertical="center"/>
    </xf>
    <xf numFmtId="0" fontId="3" fillId="10" borderId="24" xfId="3" applyFont="1" applyFill="1" applyBorder="1" applyAlignment="1">
      <alignment horizontal="center" vertical="center"/>
    </xf>
    <xf numFmtId="0" fontId="3" fillId="10" borderId="4" xfId="3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 wrapText="1"/>
    </xf>
    <xf numFmtId="0" fontId="3" fillId="10" borderId="17" xfId="3" applyFont="1" applyFill="1" applyBorder="1" applyAlignment="1">
      <alignment horizontal="left" vertical="center"/>
    </xf>
    <xf numFmtId="14" fontId="3" fillId="10" borderId="17" xfId="3" applyNumberFormat="1" applyFont="1" applyFill="1" applyBorder="1" applyAlignment="1">
      <alignment horizontal="center" vertical="center"/>
    </xf>
    <xf numFmtId="0" fontId="3" fillId="10" borderId="2" xfId="3" applyFont="1" applyFill="1" applyBorder="1" applyAlignment="1">
      <alignment horizontal="left" vertical="center"/>
    </xf>
    <xf numFmtId="14" fontId="3" fillId="10" borderId="2" xfId="3" applyNumberFormat="1" applyFont="1" applyFill="1" applyBorder="1" applyAlignment="1">
      <alignment horizontal="center" vertical="center"/>
    </xf>
    <xf numFmtId="0" fontId="3" fillId="10" borderId="2" xfId="3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left" vertical="center"/>
    </xf>
    <xf numFmtId="0" fontId="3" fillId="10" borderId="14" xfId="0" applyFont="1" applyFill="1" applyBorder="1" applyAlignment="1">
      <alignment horizontal="left" vertical="center"/>
    </xf>
    <xf numFmtId="14" fontId="3" fillId="10" borderId="14" xfId="3" applyNumberFormat="1" applyFont="1" applyFill="1" applyBorder="1" applyAlignment="1">
      <alignment horizontal="center" vertical="center"/>
    </xf>
    <xf numFmtId="0" fontId="3" fillId="10" borderId="14" xfId="3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left" vertical="center"/>
    </xf>
    <xf numFmtId="0" fontId="3" fillId="11" borderId="14" xfId="0" applyFont="1" applyFill="1" applyBorder="1" applyAlignment="1">
      <alignment horizontal="left" vertical="center"/>
    </xf>
    <xf numFmtId="14" fontId="3" fillId="11" borderId="14" xfId="3" applyNumberFormat="1" applyFont="1" applyFill="1" applyBorder="1" applyAlignment="1">
      <alignment horizontal="center" vertical="center"/>
    </xf>
    <xf numFmtId="0" fontId="3" fillId="11" borderId="14" xfId="3" applyFont="1" applyFill="1" applyBorder="1" applyAlignment="1">
      <alignment horizontal="center" vertical="center"/>
    </xf>
    <xf numFmtId="0" fontId="3" fillId="11" borderId="14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left" wrapText="1"/>
    </xf>
    <xf numFmtId="0" fontId="6" fillId="12" borderId="2" xfId="0" applyFont="1" applyFill="1" applyBorder="1" applyAlignment="1">
      <alignment horizontal="center" wrapText="1"/>
    </xf>
    <xf numFmtId="0" fontId="6" fillId="12" borderId="2" xfId="0" applyFont="1" applyFill="1" applyBorder="1" applyAlignment="1">
      <alignment horizontal="center" vertical="top" wrapText="1"/>
    </xf>
    <xf numFmtId="0" fontId="6" fillId="12" borderId="14" xfId="0" applyFont="1" applyFill="1" applyBorder="1" applyAlignment="1">
      <alignment horizontal="left" wrapText="1"/>
    </xf>
    <xf numFmtId="0" fontId="6" fillId="12" borderId="14" xfId="0" applyFont="1" applyFill="1" applyBorder="1" applyAlignment="1">
      <alignment horizontal="center" vertical="top" wrapText="1"/>
    </xf>
    <xf numFmtId="0" fontId="6" fillId="12" borderId="27" xfId="0" applyFont="1" applyFill="1" applyBorder="1" applyAlignment="1">
      <alignment horizontal="left" wrapText="1"/>
    </xf>
    <xf numFmtId="0" fontId="6" fillId="12" borderId="27" xfId="0" applyFont="1" applyFill="1" applyBorder="1" applyAlignment="1">
      <alignment horizontal="center" vertical="top" wrapText="1"/>
    </xf>
    <xf numFmtId="0" fontId="3" fillId="10" borderId="29" xfId="0" applyFont="1" applyFill="1" applyBorder="1" applyAlignment="1">
      <alignment horizontal="left"/>
    </xf>
    <xf numFmtId="14" fontId="3" fillId="10" borderId="20" xfId="3" applyNumberFormat="1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left"/>
    </xf>
    <xf numFmtId="0" fontId="3" fillId="11" borderId="2" xfId="0" applyFont="1" applyFill="1" applyBorder="1" applyAlignment="1">
      <alignment horizontal="left"/>
    </xf>
    <xf numFmtId="164" fontId="6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3" fillId="12" borderId="2" xfId="0" applyFont="1" applyFill="1" applyBorder="1" applyAlignment="1">
      <alignment horizontal="left"/>
    </xf>
    <xf numFmtId="0" fontId="3" fillId="13" borderId="2" xfId="0" applyFont="1" applyFill="1" applyBorder="1" applyAlignment="1">
      <alignment horizontal="left"/>
    </xf>
    <xf numFmtId="0" fontId="3" fillId="10" borderId="29" xfId="0" applyFont="1" applyFill="1" applyBorder="1" applyAlignment="1">
      <alignment wrapText="1"/>
    </xf>
    <xf numFmtId="14" fontId="3" fillId="10" borderId="9" xfId="3" applyNumberFormat="1" applyFont="1" applyFill="1" applyBorder="1" applyAlignment="1">
      <alignment horizontal="center" vertical="center"/>
    </xf>
    <xf numFmtId="0" fontId="3" fillId="10" borderId="30" xfId="3" applyFont="1" applyFill="1" applyBorder="1" applyAlignment="1">
      <alignment horizontal="center" vertical="center"/>
    </xf>
    <xf numFmtId="14" fontId="3" fillId="10" borderId="21" xfId="3" applyNumberFormat="1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wrapText="1"/>
    </xf>
    <xf numFmtId="14" fontId="3" fillId="10" borderId="7" xfId="3" applyNumberFormat="1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wrapText="1"/>
    </xf>
    <xf numFmtId="14" fontId="3" fillId="10" borderId="31" xfId="3" applyNumberFormat="1" applyFont="1" applyFill="1" applyBorder="1" applyAlignment="1">
      <alignment horizontal="center" vertical="center"/>
    </xf>
    <xf numFmtId="0" fontId="3" fillId="11" borderId="14" xfId="0" applyFont="1" applyFill="1" applyBorder="1" applyAlignment="1">
      <alignment wrapText="1"/>
    </xf>
    <xf numFmtId="0" fontId="3" fillId="10" borderId="17" xfId="0" applyFont="1" applyFill="1" applyBorder="1" applyAlignment="1">
      <alignment horizontal="left" wrapText="1"/>
    </xf>
    <xf numFmtId="0" fontId="3" fillId="10" borderId="2" xfId="0" applyFont="1" applyFill="1" applyBorder="1" applyAlignment="1">
      <alignment horizontal="left" wrapText="1"/>
    </xf>
    <xf numFmtId="0" fontId="3" fillId="10" borderId="14" xfId="0" applyFont="1" applyFill="1" applyBorder="1" applyAlignment="1">
      <alignment horizontal="left" wrapText="1"/>
    </xf>
    <xf numFmtId="0" fontId="6" fillId="11" borderId="2" xfId="0" applyFont="1" applyFill="1" applyBorder="1" applyAlignment="1">
      <alignment horizontal="left" wrapText="1"/>
    </xf>
    <xf numFmtId="0" fontId="6" fillId="11" borderId="2" xfId="0" applyFont="1" applyFill="1" applyBorder="1" applyAlignment="1">
      <alignment horizontal="center" vertical="center" wrapText="1"/>
    </xf>
    <xf numFmtId="0" fontId="3" fillId="12" borderId="21" xfId="0" applyFont="1" applyFill="1" applyBorder="1" applyAlignment="1">
      <alignment horizontal="left" wrapText="1"/>
    </xf>
    <xf numFmtId="14" fontId="3" fillId="12" borderId="21" xfId="3" applyNumberFormat="1" applyFont="1" applyFill="1" applyBorder="1" applyAlignment="1">
      <alignment horizontal="center" vertical="center"/>
    </xf>
    <xf numFmtId="0" fontId="3" fillId="12" borderId="21" xfId="0" applyFont="1" applyFill="1" applyBorder="1" applyAlignment="1">
      <alignment horizontal="center" vertical="center"/>
    </xf>
    <xf numFmtId="0" fontId="6" fillId="13" borderId="2" xfId="0" applyFont="1" applyFill="1" applyBorder="1" applyAlignment="1">
      <alignment wrapText="1"/>
    </xf>
    <xf numFmtId="0" fontId="6" fillId="13" borderId="2" xfId="0" applyFont="1" applyFill="1" applyBorder="1" applyAlignment="1">
      <alignment horizontal="center" wrapText="1"/>
    </xf>
    <xf numFmtId="0" fontId="6" fillId="13" borderId="27" xfId="0" applyFont="1" applyFill="1" applyBorder="1" applyAlignment="1">
      <alignment wrapText="1"/>
    </xf>
    <xf numFmtId="0" fontId="6" fillId="13" borderId="27" xfId="0" applyFont="1" applyFill="1" applyBorder="1" applyAlignment="1">
      <alignment horizontal="center" wrapText="1"/>
    </xf>
    <xf numFmtId="0" fontId="3" fillId="10" borderId="20" xfId="0" applyFont="1" applyFill="1" applyBorder="1" applyAlignment="1">
      <alignment wrapText="1"/>
    </xf>
    <xf numFmtId="0" fontId="3" fillId="12" borderId="2" xfId="0" applyFont="1" applyFill="1" applyBorder="1" applyAlignment="1">
      <alignment horizontal="left" wrapText="1"/>
    </xf>
    <xf numFmtId="0" fontId="3" fillId="13" borderId="2" xfId="0" applyFont="1" applyFill="1" applyBorder="1" applyAlignment="1">
      <alignment horizontal="left" wrapText="1"/>
    </xf>
    <xf numFmtId="0" fontId="12" fillId="10" borderId="17" xfId="0" applyFont="1" applyFill="1" applyBorder="1" applyAlignment="1">
      <alignment horizontal="center" wrapText="1"/>
    </xf>
    <xf numFmtId="0" fontId="12" fillId="10" borderId="2" xfId="0" applyFont="1" applyFill="1" applyBorder="1" applyAlignment="1">
      <alignment horizontal="center" wrapText="1"/>
    </xf>
    <xf numFmtId="0" fontId="12" fillId="10" borderId="14" xfId="0" applyFont="1" applyFill="1" applyBorder="1" applyAlignment="1">
      <alignment horizontal="center" wrapText="1"/>
    </xf>
    <xf numFmtId="0" fontId="6" fillId="11" borderId="2" xfId="0" applyFont="1" applyFill="1" applyBorder="1" applyAlignment="1">
      <alignment horizontal="center" wrapText="1"/>
    </xf>
    <xf numFmtId="0" fontId="12" fillId="12" borderId="20" xfId="0" applyFont="1" applyFill="1" applyBorder="1" applyAlignment="1">
      <alignment horizontal="center" wrapText="1"/>
    </xf>
    <xf numFmtId="0" fontId="12" fillId="12" borderId="2" xfId="0" applyFont="1" applyFill="1" applyBorder="1" applyAlignment="1">
      <alignment horizontal="center" wrapText="1"/>
    </xf>
    <xf numFmtId="0" fontId="12" fillId="13" borderId="2" xfId="0" applyFont="1" applyFill="1" applyBorder="1" applyAlignment="1">
      <alignment horizontal="center" wrapText="1"/>
    </xf>
    <xf numFmtId="0" fontId="3" fillId="13" borderId="27" xfId="0" applyFont="1" applyFill="1" applyBorder="1" applyAlignment="1">
      <alignment horizontal="left" wrapText="1"/>
    </xf>
    <xf numFmtId="0" fontId="12" fillId="13" borderId="27" xfId="0" applyFont="1" applyFill="1" applyBorder="1" applyAlignment="1">
      <alignment horizontal="center" wrapText="1"/>
    </xf>
    <xf numFmtId="0" fontId="3" fillId="10" borderId="20" xfId="0" applyFont="1" applyFill="1" applyBorder="1" applyAlignment="1">
      <alignment horizontal="left" vertical="center"/>
    </xf>
    <xf numFmtId="0" fontId="12" fillId="10" borderId="20" xfId="0" applyFont="1" applyFill="1" applyBorder="1" applyAlignment="1">
      <alignment horizontal="center" wrapText="1"/>
    </xf>
    <xf numFmtId="0" fontId="12" fillId="10" borderId="20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left" vertical="center"/>
    </xf>
    <xf numFmtId="0" fontId="3" fillId="12" borderId="2" xfId="0" applyFont="1" applyFill="1" applyBorder="1" applyAlignment="1">
      <alignment horizontal="center" wrapText="1"/>
    </xf>
    <xf numFmtId="0" fontId="3" fillId="13" borderId="2" xfId="0" applyFont="1" applyFill="1" applyBorder="1" applyAlignment="1">
      <alignment horizontal="left" vertical="center"/>
    </xf>
    <xf numFmtId="0" fontId="12" fillId="13" borderId="2" xfId="0" applyFont="1" applyFill="1" applyBorder="1" applyAlignment="1">
      <alignment horizontal="center" vertical="center"/>
    </xf>
    <xf numFmtId="0" fontId="3" fillId="13" borderId="27" xfId="0" applyFont="1" applyFill="1" applyBorder="1" applyAlignment="1">
      <alignment horizontal="left" vertical="center"/>
    </xf>
    <xf numFmtId="0" fontId="12" fillId="10" borderId="17" xfId="0" applyFont="1" applyFill="1" applyBorder="1" applyAlignment="1">
      <alignment horizontal="center" vertical="center"/>
    </xf>
    <xf numFmtId="0" fontId="12" fillId="10" borderId="2" xfId="0" applyFont="1" applyFill="1" applyBorder="1" applyAlignment="1">
      <alignment horizontal="center" vertical="center"/>
    </xf>
    <xf numFmtId="0" fontId="12" fillId="10" borderId="14" xfId="0" applyFont="1" applyFill="1" applyBorder="1" applyAlignment="1">
      <alignment horizontal="center" vertical="center"/>
    </xf>
    <xf numFmtId="0" fontId="12" fillId="11" borderId="14" xfId="0" applyFont="1" applyFill="1" applyBorder="1" applyAlignment="1">
      <alignment horizontal="center" vertical="center"/>
    </xf>
    <xf numFmtId="0" fontId="3" fillId="12" borderId="14" xfId="0" applyFont="1" applyFill="1" applyBorder="1" applyAlignment="1">
      <alignment horizontal="left" vertical="center"/>
    </xf>
    <xf numFmtId="0" fontId="12" fillId="12" borderId="14" xfId="0" applyFont="1" applyFill="1" applyBorder="1" applyAlignment="1">
      <alignment horizontal="center" vertical="center"/>
    </xf>
    <xf numFmtId="0" fontId="3" fillId="13" borderId="14" xfId="0" applyFont="1" applyFill="1" applyBorder="1" applyAlignment="1">
      <alignment horizontal="left" vertical="center"/>
    </xf>
    <xf numFmtId="0" fontId="12" fillId="13" borderId="14" xfId="0" applyFont="1" applyFill="1" applyBorder="1" applyAlignment="1">
      <alignment horizontal="center" vertical="center"/>
    </xf>
    <xf numFmtId="0" fontId="3" fillId="10" borderId="17" xfId="0" applyFont="1" applyFill="1" applyBorder="1" applyAlignment="1">
      <alignment horizontal="left" vertical="center" wrapText="1"/>
    </xf>
    <xf numFmtId="0" fontId="3" fillId="10" borderId="2" xfId="0" applyFont="1" applyFill="1" applyBorder="1" applyAlignment="1">
      <alignment horizontal="left" vertical="center" wrapText="1"/>
    </xf>
    <xf numFmtId="0" fontId="3" fillId="11" borderId="2" xfId="0" applyFont="1" applyFill="1" applyBorder="1" applyAlignment="1">
      <alignment horizontal="left" wrapText="1"/>
    </xf>
    <xf numFmtId="0" fontId="12" fillId="11" borderId="2" xfId="0" applyFont="1" applyFill="1" applyBorder="1" applyAlignment="1">
      <alignment horizontal="center" wrapText="1"/>
    </xf>
    <xf numFmtId="0" fontId="12" fillId="13" borderId="27" xfId="0" applyFont="1" applyFill="1" applyBorder="1" applyAlignment="1">
      <alignment horizontal="center" vertical="center"/>
    </xf>
    <xf numFmtId="0" fontId="3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top" wrapText="1"/>
    </xf>
    <xf numFmtId="2" fontId="3" fillId="0" borderId="2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165" fontId="6" fillId="6" borderId="2" xfId="0" applyNumberFormat="1" applyFont="1" applyFill="1" applyBorder="1" applyAlignment="1">
      <alignment horizontal="center" vertical="top" wrapText="1"/>
    </xf>
    <xf numFmtId="2" fontId="6" fillId="6" borderId="2" xfId="0" applyNumberFormat="1" applyFont="1" applyFill="1" applyBorder="1" applyAlignment="1">
      <alignment horizontal="center" vertical="top" wrapText="1"/>
    </xf>
    <xf numFmtId="165" fontId="6" fillId="3" borderId="2" xfId="0" applyNumberFormat="1" applyFont="1" applyFill="1" applyBorder="1" applyAlignment="1">
      <alignment horizontal="center" wrapText="1"/>
    </xf>
    <xf numFmtId="2" fontId="6" fillId="3" borderId="2" xfId="0" applyNumberFormat="1" applyFont="1" applyFill="1" applyBorder="1" applyAlignment="1">
      <alignment horizontal="center" wrapText="1"/>
    </xf>
    <xf numFmtId="43" fontId="6" fillId="0" borderId="2" xfId="4" applyFont="1" applyBorder="1" applyAlignment="1">
      <alignment horizontal="center" vertical="top" wrapText="1"/>
    </xf>
    <xf numFmtId="0" fontId="6" fillId="3" borderId="2" xfId="4" applyNumberFormat="1" applyFont="1" applyFill="1" applyBorder="1" applyAlignment="1">
      <alignment horizontal="center" vertical="top" wrapText="1"/>
    </xf>
    <xf numFmtId="0" fontId="27" fillId="0" borderId="0" xfId="0" applyFont="1"/>
    <xf numFmtId="165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8" fillId="0" borderId="0" xfId="0" applyFont="1" applyFill="1"/>
    <xf numFmtId="165" fontId="6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1" fontId="6" fillId="0" borderId="2" xfId="0" applyNumberFormat="1" applyFont="1" applyFill="1" applyBorder="1" applyAlignment="1">
      <alignment horizontal="center" vertical="top" wrapText="1"/>
    </xf>
    <xf numFmtId="166" fontId="6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top" wrapText="1"/>
    </xf>
    <xf numFmtId="49" fontId="6" fillId="4" borderId="2" xfId="0" applyNumberFormat="1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3" fillId="0" borderId="0" xfId="0" applyFont="1" applyFill="1"/>
    <xf numFmtId="165" fontId="6" fillId="0" borderId="2" xfId="0" applyNumberFormat="1" applyFont="1" applyBorder="1" applyAlignment="1">
      <alignment horizontal="center" vertical="center"/>
    </xf>
    <xf numFmtId="165" fontId="3" fillId="4" borderId="2" xfId="0" applyNumberFormat="1" applyFont="1" applyFill="1" applyBorder="1" applyAlignment="1">
      <alignment horizontal="center" vertical="center" wrapText="1"/>
    </xf>
    <xf numFmtId="2" fontId="3" fillId="4" borderId="2" xfId="0" applyNumberFormat="1" applyFont="1" applyFill="1" applyBorder="1" applyAlignment="1">
      <alignment horizontal="center" vertical="center" wrapText="1"/>
    </xf>
    <xf numFmtId="2" fontId="3" fillId="5" borderId="2" xfId="0" applyNumberFormat="1" applyFont="1" applyFill="1" applyBorder="1" applyAlignment="1">
      <alignment horizontal="center" vertical="center" wrapText="1"/>
    </xf>
    <xf numFmtId="166" fontId="3" fillId="4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/>
    <xf numFmtId="0" fontId="3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justify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1" fillId="0" borderId="0" xfId="0" applyNumberFormat="1" applyFont="1" applyAlignment="1">
      <alignment wrapText="1"/>
    </xf>
    <xf numFmtId="0" fontId="11" fillId="0" borderId="0" xfId="0" applyFont="1" applyAlignme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16" fillId="0" borderId="0" xfId="2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12" fillId="9" borderId="25" xfId="0" applyFont="1" applyFill="1" applyBorder="1" applyAlignment="1">
      <alignment horizontal="center" vertical="center" textRotation="90"/>
    </xf>
    <xf numFmtId="0" fontId="12" fillId="9" borderId="18" xfId="0" applyFont="1" applyFill="1" applyBorder="1" applyAlignment="1">
      <alignment horizontal="center" vertical="center" textRotation="90"/>
    </xf>
    <xf numFmtId="0" fontId="12" fillId="9" borderId="32" xfId="0" applyFont="1" applyFill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/>
    </xf>
    <xf numFmtId="0" fontId="25" fillId="0" borderId="0" xfId="0" applyNumberFormat="1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3" fillId="9" borderId="25" xfId="0" applyFont="1" applyFill="1" applyBorder="1" applyAlignment="1">
      <alignment horizontal="center" vertical="center" textRotation="90"/>
    </xf>
    <xf numFmtId="0" fontId="3" fillId="9" borderId="18" xfId="0" applyFont="1" applyFill="1" applyBorder="1" applyAlignment="1">
      <alignment horizontal="center" vertical="center" textRotation="90"/>
    </xf>
    <xf numFmtId="0" fontId="3" fillId="9" borderId="32" xfId="0" applyFont="1" applyFill="1" applyBorder="1" applyAlignment="1">
      <alignment horizontal="center" vertical="center" textRotation="90"/>
    </xf>
    <xf numFmtId="0" fontId="8" fillId="0" borderId="2" xfId="0" applyFont="1" applyBorder="1" applyAlignment="1">
      <alignment horizontal="center" vertical="center"/>
    </xf>
    <xf numFmtId="0" fontId="3" fillId="9" borderId="26" xfId="0" applyFont="1" applyFill="1" applyBorder="1" applyAlignment="1">
      <alignment horizontal="center" vertical="center" textRotation="90"/>
    </xf>
    <xf numFmtId="0" fontId="12" fillId="9" borderId="25" xfId="0" applyFont="1" applyFill="1" applyBorder="1" applyAlignment="1">
      <alignment horizontal="center" vertical="center" wrapText="1"/>
    </xf>
    <xf numFmtId="0" fontId="12" fillId="9" borderId="18" xfId="0" applyFont="1" applyFill="1" applyBorder="1" applyAlignment="1">
      <alignment horizontal="center" vertical="center" wrapText="1"/>
    </xf>
    <xf numFmtId="0" fontId="12" fillId="9" borderId="32" xfId="0" applyFont="1" applyFill="1" applyBorder="1" applyAlignment="1">
      <alignment horizontal="center" vertical="center" wrapText="1"/>
    </xf>
    <xf numFmtId="0" fontId="3" fillId="9" borderId="28" xfId="0" applyFont="1" applyFill="1" applyBorder="1" applyAlignment="1">
      <alignment horizontal="center" vertical="center" textRotation="90"/>
    </xf>
    <xf numFmtId="0" fontId="23" fillId="9" borderId="18" xfId="0" applyFont="1" applyFill="1" applyBorder="1" applyAlignment="1">
      <alignment horizontal="center" vertical="center" textRotation="90"/>
    </xf>
    <xf numFmtId="0" fontId="8" fillId="0" borderId="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3" fillId="9" borderId="25" xfId="0" applyFont="1" applyFill="1" applyBorder="1" applyAlignment="1">
      <alignment horizontal="center" vertical="center" textRotation="90" wrapText="1"/>
    </xf>
    <xf numFmtId="0" fontId="3" fillId="9" borderId="18" xfId="0" applyFont="1" applyFill="1" applyBorder="1" applyAlignment="1">
      <alignment horizontal="center" vertical="center" textRotation="90" wrapText="1"/>
    </xf>
    <xf numFmtId="0" fontId="3" fillId="9" borderId="26" xfId="0" applyFont="1" applyFill="1" applyBorder="1" applyAlignment="1">
      <alignment horizontal="center" vertical="center" textRotation="90" wrapText="1"/>
    </xf>
    <xf numFmtId="0" fontId="3" fillId="9" borderId="28" xfId="0" applyFont="1" applyFill="1" applyBorder="1" applyAlignment="1">
      <alignment horizontal="center" vertical="center" textRotation="90" wrapText="1"/>
    </xf>
  </cellXfs>
  <cellStyles count="5">
    <cellStyle name="Вывод" xfId="3" builtinId="21"/>
    <cellStyle name="Гиперссылка" xfId="2" builtinId="8"/>
    <cellStyle name="Обычный" xfId="0" builtinId="0"/>
    <cellStyle name="Обычный 2" xfId="1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42"/>
  <c:chart>
    <c:title>
      <c:tx>
        <c:rich>
          <a:bodyPr/>
          <a:lstStyle/>
          <a:p>
            <a:pPr algn="ctr">
              <a:defRPr sz="2000"/>
            </a:pPr>
            <a:r>
              <a:rPr lang="ru-RU" sz="2400" b="1">
                <a:solidFill>
                  <a:srgbClr val="33CCCC"/>
                </a:solidFill>
              </a:rPr>
              <a:t>Удобство</a:t>
            </a:r>
            <a:r>
              <a:rPr lang="ru-RU" sz="2400">
                <a:solidFill>
                  <a:srgbClr val="33CCCC"/>
                </a:solidFill>
              </a:rPr>
              <a:t> способа подачи заявки на оказание услуги</a:t>
            </a:r>
            <a:endParaRPr lang="en-US" sz="2400">
              <a:solidFill>
                <a:srgbClr val="33CCCC"/>
              </a:solidFill>
            </a:endParaRPr>
          </a:p>
        </c:rich>
      </c:tx>
      <c:layout>
        <c:manualLayout>
          <c:xMode val="edge"/>
          <c:yMode val="edge"/>
          <c:x val="0.14585886647967589"/>
          <c:y val="4.4865923250091935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1.3989975845410724E-2"/>
          <c:y val="0.25772029914529931"/>
          <c:w val="0.69332270729346468"/>
          <c:h val="0.74175573797956473"/>
        </c:manualLayout>
      </c:layout>
      <c:pie3DChart>
        <c:varyColors val="1"/>
        <c:ser>
          <c:idx val="0"/>
          <c:order val="0"/>
          <c:tx>
            <c:strRef>
              <c:f>'4.7 '!$V$280:$V$284</c:f>
              <c:strCache>
                <c:ptCount val="1"/>
                <c:pt idx="0">
                  <c:v>0,078947368 0 0,003289474 0,055921053 2,029605263</c:v>
                </c:pt>
              </c:strCache>
            </c:strRef>
          </c:tx>
          <c:explosion val="22"/>
          <c:dPt>
            <c:idx val="0"/>
            <c:spPr>
              <a:solidFill>
                <a:sysClr val="window" lastClr="FFFF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7030A0"/>
              </a:solidFill>
            </c:spPr>
          </c:dPt>
          <c:dPt>
            <c:idx val="3"/>
            <c:spPr>
              <a:solidFill>
                <a:srgbClr val="FF66CC"/>
              </a:solidFill>
            </c:spPr>
          </c:dPt>
          <c:dPt>
            <c:idx val="4"/>
            <c:spPr>
              <a:solidFill>
                <a:srgbClr val="33CCCC"/>
              </a:solidFill>
            </c:spPr>
          </c:dPt>
          <c:dLbls>
            <c:dLbl>
              <c:idx val="0"/>
              <c:layout>
                <c:manualLayout>
                  <c:x val="-4.6630272383375845E-2"/>
                  <c:y val="-9.9795327065187941E-3"/>
                </c:manualLayout>
              </c:layout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-1.1351033373684047E-2"/>
                  <c:y val="-1.0299528156896293E-2"/>
                </c:manualLayout>
              </c:layout>
              <c:showPercent val="1"/>
            </c:dLbl>
            <c:dLbl>
              <c:idx val="4"/>
              <c:layout>
                <c:manualLayout>
                  <c:x val="8.5778774084576168E-2"/>
                  <c:y val="-0.26006222906347232"/>
                </c:manualLayout>
              </c:layout>
              <c:spPr/>
              <c:txPr>
                <a:bodyPr/>
                <a:lstStyle/>
                <a:p>
                  <a:pPr>
                    <a:defRPr sz="3200" b="1"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Percent val="1"/>
            </c:dLbl>
            <c:txPr>
              <a:bodyPr/>
              <a:lstStyle/>
              <a:p>
                <a:pPr>
                  <a:defRPr sz="1600" b="1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Percent val="1"/>
            <c:showLeaderLines val="1"/>
          </c:dLbls>
          <c:cat>
            <c:strRef>
              <c:f>'4.7 '!$S$280:$S$284</c:f>
              <c:strCache>
                <c:ptCount val="5"/>
                <c:pt idx="0">
                  <c:v>затрудняюсь ответить</c:v>
                </c:pt>
                <c:pt idx="1">
                  <c:v>не удобно</c:v>
                </c:pt>
                <c:pt idx="2">
                  <c:v>нормально</c:v>
                </c:pt>
                <c:pt idx="3">
                  <c:v>удобно</c:v>
                </c:pt>
                <c:pt idx="4">
                  <c:v>очень удобно</c:v>
                </c:pt>
              </c:strCache>
            </c:strRef>
          </c:cat>
          <c:val>
            <c:numRef>
              <c:f>'4.7 '!$V$280:$V$284</c:f>
              <c:numCache>
                <c:formatCode>General</c:formatCode>
                <c:ptCount val="5"/>
                <c:pt idx="0">
                  <c:v>7.8947368421052627E-2</c:v>
                </c:pt>
                <c:pt idx="1">
                  <c:v>0</c:v>
                </c:pt>
                <c:pt idx="2">
                  <c:v>3.2894736842105261E-3</c:v>
                </c:pt>
                <c:pt idx="3">
                  <c:v>5.5921052631578948E-2</c:v>
                </c:pt>
                <c:pt idx="4">
                  <c:v>2.0296052631578947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>
        <c:manualLayout>
          <c:xMode val="edge"/>
          <c:yMode val="edge"/>
          <c:x val="0.777968933630941"/>
          <c:y val="0.20019244287932308"/>
          <c:w val="0.21513365523078917"/>
          <c:h val="0.69301341977784658"/>
        </c:manualLayout>
      </c:layout>
      <c:txPr>
        <a:bodyPr/>
        <a:lstStyle/>
        <a:p>
          <a:pPr>
            <a:defRPr sz="1600"/>
          </a:pPr>
          <a:endParaRPr lang="ru-RU"/>
        </a:p>
      </c:txPr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42"/>
  <c:chart>
    <c:title>
      <c:tx>
        <c:rich>
          <a:bodyPr/>
          <a:lstStyle/>
          <a:p>
            <a:pPr>
              <a:defRPr sz="2400">
                <a:solidFill>
                  <a:srgbClr val="33CCCC"/>
                </a:solidFill>
              </a:defRPr>
            </a:pPr>
            <a:r>
              <a:rPr lang="ru-RU" sz="2400">
                <a:solidFill>
                  <a:srgbClr val="33CCCC"/>
                </a:solidFill>
              </a:rPr>
              <a:t>Информативность материалов на сайте</a:t>
            </a:r>
            <a:endParaRPr lang="en-US" sz="2400">
              <a:solidFill>
                <a:srgbClr val="33CCCC"/>
              </a:solidFill>
            </a:endParaRPr>
          </a:p>
        </c:rich>
      </c:tx>
      <c:spPr>
        <a:solidFill>
          <a:schemeClr val="tx1"/>
        </a:solidFill>
      </c:spPr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1.5640096618357616E-4"/>
          <c:y val="0.19908205128205128"/>
          <c:w val="0.72062874396135268"/>
          <c:h val="0.7782955128205179"/>
        </c:manualLayout>
      </c:layout>
      <c:pie3DChart>
        <c:varyColors val="1"/>
        <c:ser>
          <c:idx val="1"/>
          <c:order val="0"/>
          <c:tx>
            <c:strRef>
              <c:f>'4.7 '!$V$218:$V$220</c:f>
              <c:strCache>
                <c:ptCount val="1"/>
                <c:pt idx="0">
                  <c:v>0,940819423 0,02276176 0,036418816</c:v>
                </c:pt>
              </c:strCache>
            </c:strRef>
          </c:tx>
          <c:dPt>
            <c:idx val="0"/>
            <c:explosion val="19"/>
            <c:spPr>
              <a:solidFill>
                <a:srgbClr val="33CCCC"/>
              </a:solidFill>
            </c:spPr>
          </c:dPt>
          <c:dPt>
            <c:idx val="1"/>
            <c:explosion val="17"/>
            <c:spPr>
              <a:solidFill>
                <a:srgbClr val="FF66CC"/>
              </a:solidFill>
            </c:spPr>
          </c:dPt>
          <c:dPt>
            <c:idx val="2"/>
            <c:explosion val="16"/>
            <c:spPr>
              <a:solidFill>
                <a:sysClr val="window" lastClr="FFFFFF"/>
              </a:solidFill>
            </c:spPr>
          </c:dPt>
          <c:dLbls>
            <c:dLbl>
              <c:idx val="0"/>
              <c:layout>
                <c:manualLayout>
                  <c:x val="-8.695546957634874E-2"/>
                  <c:y val="-0.28465391817091962"/>
                </c:manualLayout>
              </c:layout>
              <c:tx>
                <c:rich>
                  <a:bodyPr/>
                  <a:lstStyle/>
                  <a:p>
                    <a:r>
                      <a:rPr lang="en-US" sz="2800" b="1">
                        <a:solidFill>
                          <a:sysClr val="windowText" lastClr="000000"/>
                        </a:solidFill>
                      </a:rPr>
                      <a:t>88</a:t>
                    </a:r>
                    <a:r>
                      <a:rPr lang="en-US" sz="2800">
                        <a:solidFill>
                          <a:sysClr val="windowText" lastClr="000000"/>
                        </a:solidFill>
                      </a:rPr>
                      <a:t>%</a:t>
                    </a:r>
                    <a:endParaRPr lang="en-US" sz="4000">
                      <a:solidFill>
                        <a:sysClr val="windowText" lastClr="000000"/>
                      </a:solidFill>
                    </a:endParaRPr>
                  </a:p>
                </c:rich>
              </c:tx>
              <c:showPercent val="1"/>
            </c:dLbl>
            <c:dLbl>
              <c:idx val="1"/>
              <c:layout>
                <c:manualLayout>
                  <c:x val="5.7639390235927326E-4"/>
                  <c:y val="-9.9928494287357238E-3"/>
                </c:manualLayout>
              </c:layout>
              <c:showPercent val="1"/>
            </c:dLbl>
            <c:dLbl>
              <c:idx val="2"/>
              <c:layout>
                <c:manualLayout>
                  <c:x val="3.9989787476458802E-2"/>
                  <c:y val="-1.506308172304692E-2"/>
                </c:manualLayout>
              </c:layout>
              <c:showPercent val="1"/>
            </c:dLbl>
            <c:txPr>
              <a:bodyPr/>
              <a:lstStyle/>
              <a:p>
                <a:pPr>
                  <a:defRPr sz="1600" b="1"/>
                </a:pPr>
                <a:endParaRPr lang="ru-RU"/>
              </a:p>
            </c:txPr>
            <c:showPercent val="1"/>
            <c:showLeaderLines val="1"/>
          </c:dLbls>
          <c:cat>
            <c:strRef>
              <c:f>'4.7 '!$S$218:$S$220</c:f>
              <c:strCache>
                <c:ptCount val="3"/>
                <c:pt idx="0">
                  <c:v>информативно</c:v>
                </c:pt>
                <c:pt idx="1">
                  <c:v>не информативно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'4.7 '!$V$218:$V$220</c:f>
              <c:numCache>
                <c:formatCode>General</c:formatCode>
                <c:ptCount val="3"/>
                <c:pt idx="0">
                  <c:v>0.94081942336874047</c:v>
                </c:pt>
                <c:pt idx="1">
                  <c:v>2.2761760242792108E-2</c:v>
                </c:pt>
                <c:pt idx="2">
                  <c:v>3.6418816388467376E-2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>
        <c:manualLayout>
          <c:xMode val="edge"/>
          <c:yMode val="edge"/>
          <c:x val="0.75973795115834775"/>
          <c:y val="0.30778988413099312"/>
          <c:w val="0.23333273133737345"/>
          <c:h val="0.45010926355714037"/>
        </c:manualLayout>
      </c:layout>
      <c:txPr>
        <a:bodyPr/>
        <a:lstStyle/>
        <a:p>
          <a:pPr>
            <a:defRPr sz="1600"/>
          </a:pPr>
          <a:endParaRPr lang="ru-RU"/>
        </a:p>
      </c:txPr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42"/>
  <c:chart>
    <c:title>
      <c:tx>
        <c:rich>
          <a:bodyPr/>
          <a:lstStyle/>
          <a:p>
            <a:pPr>
              <a:defRPr>
                <a:solidFill>
                  <a:srgbClr val="33CCCC"/>
                </a:solidFill>
              </a:defRPr>
            </a:pPr>
            <a:r>
              <a:rPr lang="ru-RU" sz="2400">
                <a:solidFill>
                  <a:srgbClr val="33CCCC"/>
                </a:solidFill>
              </a:rPr>
              <a:t>Соблюдение сроков</a:t>
            </a:r>
            <a:r>
              <a:rPr lang="ru-RU" sz="2400" baseline="0">
                <a:solidFill>
                  <a:srgbClr val="33CCCC"/>
                </a:solidFill>
              </a:rPr>
              <a:t> рассмотрения заявки</a:t>
            </a:r>
            <a:endParaRPr lang="en-US" sz="2400">
              <a:solidFill>
                <a:srgbClr val="33CCCC"/>
              </a:solidFill>
            </a:endParaRPr>
          </a:p>
        </c:rich>
      </c:tx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4.3635265700483068E-4"/>
          <c:y val="0.18367008547008548"/>
          <c:w val="0.77852495395679888"/>
          <c:h val="0.77380444844932605"/>
        </c:manualLayout>
      </c:layout>
      <c:pie3DChart>
        <c:varyColors val="1"/>
        <c:ser>
          <c:idx val="0"/>
          <c:order val="0"/>
          <c:explosion val="12"/>
          <c:dPt>
            <c:idx val="0"/>
            <c:explosion val="31"/>
            <c:spPr>
              <a:solidFill>
                <a:srgbClr val="33CCCC"/>
              </a:solidFill>
            </c:spPr>
          </c:dPt>
          <c:dPt>
            <c:idx val="1"/>
            <c:explosion val="21"/>
            <c:spPr>
              <a:solidFill>
                <a:srgbClr val="FF66CC"/>
              </a:solidFill>
            </c:spPr>
          </c:dPt>
          <c:dLbls>
            <c:dLbl>
              <c:idx val="0"/>
              <c:layout>
                <c:manualLayout>
                  <c:x val="-7.0111111111111433E-3"/>
                  <c:y val="-0.29333376068376082"/>
                </c:manualLayout>
              </c:layout>
              <c:spPr/>
              <c:txPr>
                <a:bodyPr/>
                <a:lstStyle/>
                <a:p>
                  <a:pPr>
                    <a:defRPr sz="2800" b="1"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Percent val="1"/>
            </c:dLbl>
            <c:dLbl>
              <c:idx val="1"/>
              <c:layout>
                <c:manualLayout>
                  <c:x val="-3.0732939203668781E-2"/>
                  <c:y val="4.2623619415994053E-3"/>
                </c:manualLayout>
              </c:layout>
              <c:showPercent val="1"/>
            </c:dLbl>
            <c:dLbl>
              <c:idx val="2"/>
              <c:layout>
                <c:manualLayout>
                  <c:x val="5.6491487013544006E-2"/>
                  <c:y val="-1.5579894618435921E-2"/>
                </c:manualLayout>
              </c:layout>
              <c:showPercent val="1"/>
            </c:dLbl>
            <c:txPr>
              <a:bodyPr/>
              <a:lstStyle/>
              <a:p>
                <a:pPr>
                  <a:defRPr sz="1600" b="1"/>
                </a:pPr>
                <a:endParaRPr lang="ru-RU"/>
              </a:p>
            </c:txPr>
            <c:showPercent val="1"/>
            <c:showLeaderLines val="1"/>
          </c:dLbls>
          <c:cat>
            <c:strRef>
              <c:f>'4.7 '!$S$170:$S$172</c:f>
              <c:strCache>
                <c:ptCount val="3"/>
                <c:pt idx="0">
                  <c:v>сроки были соблюдены</c:v>
                </c:pt>
                <c:pt idx="1">
                  <c:v>затрудняюсь ответить</c:v>
                </c:pt>
                <c:pt idx="2">
                  <c:v>срок был нарушен</c:v>
                </c:pt>
              </c:strCache>
            </c:strRef>
          </c:cat>
          <c:val>
            <c:numRef>
              <c:f>'4.7 '!$V$170:$V$171</c:f>
              <c:numCache>
                <c:formatCode>General</c:formatCode>
                <c:ptCount val="2"/>
                <c:pt idx="0">
                  <c:v>0.96358118361153267</c:v>
                </c:pt>
                <c:pt idx="1">
                  <c:v>3.6418816388467376E-2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>
        <c:manualLayout>
          <c:xMode val="edge"/>
          <c:yMode val="edge"/>
          <c:x val="0.75916014856871361"/>
          <c:y val="0.2812664206447878"/>
          <c:w val="0.22723194946028571"/>
          <c:h val="0.4422668358853214"/>
        </c:manualLayout>
      </c:layout>
      <c:txPr>
        <a:bodyPr/>
        <a:lstStyle/>
        <a:p>
          <a:pPr>
            <a:defRPr sz="1600"/>
          </a:pPr>
          <a:endParaRPr lang="ru-RU"/>
        </a:p>
      </c:txPr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42"/>
  <c:chart>
    <c:title>
      <c:tx>
        <c:rich>
          <a:bodyPr/>
          <a:lstStyle/>
          <a:p>
            <a:pPr>
              <a:defRPr>
                <a:solidFill>
                  <a:srgbClr val="33CCCC"/>
                </a:solidFill>
              </a:defRPr>
            </a:pPr>
            <a:r>
              <a:rPr lang="ru-RU" sz="2400">
                <a:solidFill>
                  <a:srgbClr val="33CCCC"/>
                </a:solidFill>
              </a:rPr>
              <a:t>Соблюдение сроков технологического присоединения</a:t>
            </a:r>
            <a:endParaRPr lang="en-US" sz="2400">
              <a:solidFill>
                <a:srgbClr val="33CCCC"/>
              </a:solidFill>
            </a:endParaRPr>
          </a:p>
        </c:rich>
      </c:tx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6.8937198067632892E-4"/>
          <c:y val="0.26800747863247881"/>
          <c:w val="0.69316884057971062"/>
          <c:h val="0.68683461538461565"/>
        </c:manualLayout>
      </c:layout>
      <c:pie3DChart>
        <c:varyColors val="1"/>
        <c:ser>
          <c:idx val="0"/>
          <c:order val="0"/>
          <c:dPt>
            <c:idx val="0"/>
            <c:explosion val="18"/>
            <c:spPr>
              <a:solidFill>
                <a:srgbClr val="33CCCC"/>
              </a:solidFill>
            </c:spPr>
          </c:dPt>
          <c:dPt>
            <c:idx val="1"/>
            <c:explosion val="12"/>
            <c:spPr>
              <a:solidFill>
                <a:srgbClr val="FF66CC"/>
              </a:solidFill>
            </c:spPr>
          </c:dPt>
          <c:dPt>
            <c:idx val="2"/>
            <c:explosion val="14"/>
            <c:spPr>
              <a:solidFill>
                <a:schemeClr val="bg1"/>
              </a:solidFill>
            </c:spPr>
          </c:dPt>
          <c:dLbls>
            <c:dLbl>
              <c:idx val="0"/>
              <c:layout>
                <c:manualLayout>
                  <c:x val="-3.6817434901259001E-2"/>
                  <c:y val="-0.24562089755823024"/>
                </c:manualLayout>
              </c:layout>
              <c:spPr/>
              <c:txPr>
                <a:bodyPr/>
                <a:lstStyle/>
                <a:p>
                  <a:pPr>
                    <a:defRPr sz="2800" b="1"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Percent val="1"/>
            </c:dLbl>
            <c:dLbl>
              <c:idx val="1"/>
              <c:layout>
                <c:manualLayout>
                  <c:x val="-1.1436646695568729E-2"/>
                  <c:y val="-2.2005037183001234E-2"/>
                </c:manualLayout>
              </c:layout>
              <c:showPercent val="1"/>
            </c:dLbl>
            <c:dLbl>
              <c:idx val="2"/>
              <c:layout>
                <c:manualLayout>
                  <c:x val="2.8302645081633881E-2"/>
                  <c:y val="-2.0021281715414691E-2"/>
                </c:manualLayout>
              </c:layout>
              <c:showPercent val="1"/>
            </c:dLbl>
            <c:txPr>
              <a:bodyPr/>
              <a:lstStyle/>
              <a:p>
                <a:pPr>
                  <a:defRPr sz="1600" b="1"/>
                </a:pPr>
                <a:endParaRPr lang="ru-RU"/>
              </a:p>
            </c:txPr>
            <c:showPercent val="1"/>
            <c:showLeaderLines val="1"/>
          </c:dLbls>
          <c:cat>
            <c:strRef>
              <c:f>'4.7 '!$S$129:$S$131</c:f>
              <c:strCache>
                <c:ptCount val="3"/>
                <c:pt idx="0">
                  <c:v>сроки были соблюдены</c:v>
                </c:pt>
                <c:pt idx="1">
                  <c:v>было составлено доп. соглашение 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'4.7 '!$V$129:$V$131</c:f>
              <c:numCache>
                <c:formatCode>General</c:formatCode>
                <c:ptCount val="3"/>
                <c:pt idx="0">
                  <c:v>0.96358118361153267</c:v>
                </c:pt>
                <c:pt idx="1">
                  <c:v>0</c:v>
                </c:pt>
                <c:pt idx="2">
                  <c:v>3.6418816388467376E-2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>
        <c:manualLayout>
          <c:xMode val="edge"/>
          <c:yMode val="edge"/>
          <c:x val="0.76185174677303713"/>
          <c:y val="0.25617675200865031"/>
          <c:w val="0.21807560536014289"/>
          <c:h val="0.57569038677288165"/>
        </c:manualLayout>
      </c:layout>
      <c:txPr>
        <a:bodyPr/>
        <a:lstStyle/>
        <a:p>
          <a:pPr rtl="0">
            <a:defRPr sz="1600"/>
          </a:pPr>
          <a:endParaRPr lang="ru-RU"/>
        </a:p>
      </c:txPr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42"/>
  <c:chart>
    <c:title>
      <c:tx>
        <c:rich>
          <a:bodyPr/>
          <a:lstStyle/>
          <a:p>
            <a:pPr>
              <a:defRPr>
                <a:solidFill>
                  <a:srgbClr val="33CCCC"/>
                </a:solidFill>
              </a:defRPr>
            </a:pPr>
            <a:r>
              <a:rPr lang="ru-RU" sz="2400">
                <a:solidFill>
                  <a:srgbClr val="33CCCC"/>
                </a:solidFill>
              </a:rPr>
              <a:t>Качество выполненных работ</a:t>
            </a:r>
            <a:endParaRPr lang="en-US" sz="2400">
              <a:solidFill>
                <a:srgbClr val="33CCCC"/>
              </a:solidFill>
            </a:endParaRPr>
          </a:p>
        </c:rich>
      </c:tx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1.1269323671497633E-3"/>
          <c:y val="0.19556346153846249"/>
          <c:w val="0.75743697293303369"/>
          <c:h val="0.75128427935020081"/>
        </c:manualLayout>
      </c:layout>
      <c:pie3DChart>
        <c:varyColors val="1"/>
        <c:ser>
          <c:idx val="0"/>
          <c:order val="0"/>
          <c:explosion val="8"/>
          <c:dPt>
            <c:idx val="0"/>
            <c:spPr>
              <a:solidFill>
                <a:schemeClr val="bg1"/>
              </a:solidFill>
            </c:spPr>
          </c:dPt>
          <c:dPt>
            <c:idx val="1"/>
            <c:explosion val="27"/>
            <c:spPr>
              <a:solidFill>
                <a:srgbClr val="33CCCC"/>
              </a:solidFill>
            </c:spPr>
          </c:dPt>
          <c:dPt>
            <c:idx val="2"/>
            <c:spPr>
              <a:solidFill>
                <a:srgbClr val="FF66CC"/>
              </a:solidFill>
            </c:spPr>
          </c:dPt>
          <c:dLbls>
            <c:dLbl>
              <c:idx val="0"/>
              <c:layout>
                <c:manualLayout>
                  <c:x val="5.307851311081916E-2"/>
                  <c:y val="-5.6715578262383007E-2"/>
                </c:manualLayout>
              </c:layout>
              <c:showPercent val="1"/>
            </c:dLbl>
            <c:dLbl>
              <c:idx val="1"/>
              <c:layout>
                <c:manualLayout>
                  <c:x val="-3.8987375965622212E-2"/>
                  <c:y val="-0.28656721787700312"/>
                </c:manualLayout>
              </c:layout>
              <c:tx>
                <c:rich>
                  <a:bodyPr/>
                  <a:lstStyle/>
                  <a:p>
                    <a:pPr>
                      <a:defRPr sz="2400" b="1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sz="2800">
                        <a:solidFill>
                          <a:sysClr val="windowText" lastClr="000000"/>
                        </a:solidFill>
                      </a:rPr>
                      <a:t>95%</a:t>
                    </a:r>
                  </a:p>
                </c:rich>
              </c:tx>
              <c:spPr/>
              <c:showPercent val="1"/>
            </c:dLbl>
            <c:dLbl>
              <c:idx val="2"/>
              <c:layout>
                <c:manualLayout>
                  <c:x val="-1.1072310256183261E-2"/>
                  <c:y val="-2.5425604075654251E-2"/>
                </c:manualLayout>
              </c:layout>
              <c:showPercent val="1"/>
            </c:dLbl>
            <c:txPr>
              <a:bodyPr/>
              <a:lstStyle/>
              <a:p>
                <a:pPr>
                  <a:defRPr sz="1600" b="1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Percent val="1"/>
            <c:showLeaderLines val="1"/>
          </c:dLbls>
          <c:cat>
            <c:strRef>
              <c:f>'4.7 '!$Q$80:$Q$82</c:f>
              <c:strCache>
                <c:ptCount val="3"/>
                <c:pt idx="0">
                  <c:v>затрудняюсь ответить</c:v>
                </c:pt>
                <c:pt idx="1">
                  <c:v>отличное качество</c:v>
                </c:pt>
                <c:pt idx="2">
                  <c:v>хорошее</c:v>
                </c:pt>
              </c:strCache>
            </c:strRef>
          </c:cat>
          <c:val>
            <c:numRef>
              <c:f>'4.7 '!$T$80:$T$82</c:f>
              <c:numCache>
                <c:formatCode>General</c:formatCode>
                <c:ptCount val="3"/>
                <c:pt idx="0">
                  <c:v>3.6418816388467376E-2</c:v>
                </c:pt>
                <c:pt idx="1">
                  <c:v>0.96206373292867986</c:v>
                </c:pt>
                <c:pt idx="2">
                  <c:v>1.5174506828528073E-3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>
        <c:manualLayout>
          <c:xMode val="edge"/>
          <c:yMode val="edge"/>
          <c:x val="0.77803430666179685"/>
          <c:y val="0.24226147240924659"/>
          <c:w val="0.20349228363643274"/>
          <c:h val="0.5679249244196366"/>
        </c:manualLayout>
      </c:layout>
      <c:txPr>
        <a:bodyPr/>
        <a:lstStyle/>
        <a:p>
          <a:pPr rtl="0">
            <a:defRPr sz="1600"/>
          </a:pPr>
          <a:endParaRPr lang="ru-RU"/>
        </a:p>
      </c:txPr>
    </c:legend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42"/>
  <c:chart>
    <c:title>
      <c:tx>
        <c:rich>
          <a:bodyPr/>
          <a:lstStyle/>
          <a:p>
            <a:pPr>
              <a:defRPr>
                <a:solidFill>
                  <a:srgbClr val="33CCCC"/>
                </a:solidFill>
              </a:defRPr>
            </a:pPr>
            <a:r>
              <a:rPr lang="ru-RU" sz="2400">
                <a:solidFill>
                  <a:srgbClr val="33CCCC"/>
                </a:solidFill>
              </a:rPr>
              <a:t>Уровень обслуживания </a:t>
            </a:r>
          </a:p>
          <a:p>
            <a:pPr>
              <a:defRPr>
                <a:solidFill>
                  <a:srgbClr val="33CCCC"/>
                </a:solidFill>
              </a:defRPr>
            </a:pPr>
            <a:r>
              <a:rPr lang="ru-RU" sz="2400">
                <a:solidFill>
                  <a:srgbClr val="33CCCC"/>
                </a:solidFill>
              </a:rPr>
              <a:t>(доброжелательность</a:t>
            </a:r>
            <a:r>
              <a:rPr lang="ru-RU" sz="2400" baseline="0">
                <a:solidFill>
                  <a:srgbClr val="33CCCC"/>
                </a:solidFill>
              </a:rPr>
              <a:t> и компетентность)</a:t>
            </a:r>
            <a:endParaRPr lang="en-US" sz="2400">
              <a:solidFill>
                <a:srgbClr val="33CCCC"/>
              </a:solidFill>
            </a:endParaRPr>
          </a:p>
        </c:rich>
      </c:tx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5.8038224640989036E-3"/>
          <c:y val="0.25910359429347068"/>
          <c:w val="0.73327648883549024"/>
          <c:h val="0.72458758844046756"/>
        </c:manualLayout>
      </c:layout>
      <c:pie3DChart>
        <c:varyColors val="1"/>
        <c:ser>
          <c:idx val="0"/>
          <c:order val="0"/>
          <c:explosion val="15"/>
          <c:dPt>
            <c:idx val="0"/>
            <c:spPr>
              <a:solidFill>
                <a:schemeClr val="bg1"/>
              </a:solidFill>
            </c:spPr>
          </c:dPt>
          <c:dPt>
            <c:idx val="1"/>
            <c:explosion val="28"/>
            <c:spPr>
              <a:solidFill>
                <a:srgbClr val="33CCCC"/>
              </a:solidFill>
            </c:spPr>
          </c:dPt>
          <c:dPt>
            <c:idx val="2"/>
            <c:spPr>
              <a:solidFill>
                <a:srgbClr val="FF66CC"/>
              </a:solidFill>
            </c:spPr>
          </c:dPt>
          <c:dLbls>
            <c:dLbl>
              <c:idx val="0"/>
              <c:layout>
                <c:manualLayout>
                  <c:x val="1.9352715847410652E-2"/>
                  <c:y val="-1.6807992158142705E-2"/>
                </c:manualLayout>
              </c:layout>
              <c:dLblPos val="bestFit"/>
              <c:showPercent val="1"/>
            </c:dLbl>
            <c:dLbl>
              <c:idx val="1"/>
              <c:layout>
                <c:manualLayout>
                  <c:x val="6.3470691094630449E-3"/>
                  <c:y val="-0.26857374251828625"/>
                </c:manualLayout>
              </c:layout>
              <c:tx>
                <c:rich>
                  <a:bodyPr/>
                  <a:lstStyle/>
                  <a:p>
                    <a:pPr>
                      <a:defRPr sz="2400" b="1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sz="2800" i="1">
                        <a:solidFill>
                          <a:sysClr val="windowText" lastClr="000000"/>
                        </a:solidFill>
                      </a:rPr>
                      <a:t>9</a:t>
                    </a:r>
                    <a:r>
                      <a:rPr lang="ru-RU" sz="2800" i="1">
                        <a:solidFill>
                          <a:sysClr val="windowText" lastClr="000000"/>
                        </a:solidFill>
                      </a:rPr>
                      <a:t>6</a:t>
                    </a:r>
                    <a:r>
                      <a:rPr lang="en-US" sz="2800">
                        <a:solidFill>
                          <a:sysClr val="windowText" lastClr="000000"/>
                        </a:solidFill>
                      </a:rPr>
                      <a:t>%</a:t>
                    </a:r>
                  </a:p>
                </c:rich>
              </c:tx>
              <c:spPr/>
              <c:dLblPos val="bestFit"/>
              <c:showPercent val="1"/>
            </c:dLbl>
            <c:dLbl>
              <c:idx val="2"/>
              <c:layout>
                <c:manualLayout>
                  <c:x val="-2.187103946215763E-2"/>
                  <c:y val="8.0639893512787357E-5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3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Percent val="1"/>
            </c:dLbl>
            <c:dLbl>
              <c:idx val="3"/>
              <c:layout>
                <c:manualLayout>
                  <c:x val="7.9767162718200404E-2"/>
                  <c:y val="-7.3503582092156313E-3"/>
                </c:manualLayout>
              </c:layout>
              <c:dLblPos val="bestFit"/>
              <c:showPercent val="1"/>
            </c:dLbl>
            <c:txPr>
              <a:bodyPr/>
              <a:lstStyle/>
              <a:p>
                <a:pPr>
                  <a:defRPr sz="1600" b="1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bestFit"/>
            <c:showPercent val="1"/>
            <c:showLeaderLines val="1"/>
          </c:dLbls>
          <c:cat>
            <c:strRef>
              <c:f>'4.7 '!$Q$41:$Q$43</c:f>
              <c:strCache>
                <c:ptCount val="3"/>
                <c:pt idx="0">
                  <c:v>затрудняюсь ответить</c:v>
                </c:pt>
                <c:pt idx="1">
                  <c:v>все на высшем уровне</c:v>
                </c:pt>
                <c:pt idx="2">
                  <c:v>хорошее</c:v>
                </c:pt>
              </c:strCache>
            </c:strRef>
          </c:cat>
          <c:val>
            <c:numRef>
              <c:f>'4.7 '!$T$41:$T$43</c:f>
              <c:numCache>
                <c:formatCode>0.0000</c:formatCode>
                <c:ptCount val="3"/>
                <c:pt idx="0">
                  <c:v>3.6418816388467376E-2</c:v>
                </c:pt>
                <c:pt idx="1">
                  <c:v>0.96358118361153267</c:v>
                </c:pt>
                <c:pt idx="2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>
        <c:manualLayout>
          <c:xMode val="edge"/>
          <c:yMode val="edge"/>
          <c:x val="0.78532597368730184"/>
          <c:y val="0.25730804656563905"/>
          <c:w val="0.20349228363643285"/>
          <c:h val="0.54119646845963054"/>
        </c:manualLayout>
      </c:layout>
      <c:txPr>
        <a:bodyPr/>
        <a:lstStyle/>
        <a:p>
          <a:pPr rtl="0">
            <a:defRPr sz="1600"/>
          </a:pPr>
          <a:endParaRPr lang="ru-RU"/>
        </a:p>
      </c:txPr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42"/>
  <c:chart>
    <c:title>
      <c:tx>
        <c:rich>
          <a:bodyPr/>
          <a:lstStyle/>
          <a:p>
            <a:pPr>
              <a:defRPr>
                <a:solidFill>
                  <a:srgbClr val="33CCCC"/>
                </a:solidFill>
              </a:defRPr>
            </a:pPr>
            <a:r>
              <a:rPr lang="ru-RU" sz="2400">
                <a:solidFill>
                  <a:srgbClr val="33CCCC"/>
                </a:solidFill>
              </a:rPr>
              <a:t>Категория опрошенных заявителей</a:t>
            </a:r>
            <a:endParaRPr lang="en-US" sz="2400">
              <a:solidFill>
                <a:srgbClr val="33CCCC"/>
              </a:solidFill>
            </a:endParaRPr>
          </a:p>
        </c:rich>
      </c:tx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1.0178795500249298E-2"/>
          <c:y val="0.2860133220399243"/>
          <c:w val="0.70083787099580963"/>
          <c:h val="0.69497566547775169"/>
        </c:manualLayout>
      </c:layout>
      <c:pie3DChart>
        <c:varyColors val="1"/>
        <c:ser>
          <c:idx val="0"/>
          <c:order val="0"/>
          <c:dPt>
            <c:idx val="0"/>
            <c:explosion val="14"/>
            <c:spPr>
              <a:solidFill>
                <a:srgbClr val="FF66CC"/>
              </a:solidFill>
            </c:spPr>
          </c:dPt>
          <c:dPt>
            <c:idx val="1"/>
            <c:explosion val="12"/>
            <c:spPr>
              <a:solidFill>
                <a:schemeClr val="bg1"/>
              </a:solidFill>
            </c:spPr>
          </c:dPt>
          <c:dPt>
            <c:idx val="2"/>
            <c:explosion val="18"/>
            <c:spPr>
              <a:solidFill>
                <a:srgbClr val="33CCCC"/>
              </a:solidFill>
            </c:spPr>
          </c:dPt>
          <c:dLbls>
            <c:dLbl>
              <c:idx val="0"/>
              <c:layout>
                <c:manualLayout>
                  <c:x val="-6.6504940936922954E-2"/>
                  <c:y val="-4.7074964020572312E-2"/>
                </c:manualLayout>
              </c:layout>
              <c:spPr/>
              <c:txPr>
                <a:bodyPr/>
                <a:lstStyle/>
                <a:p>
                  <a:pPr>
                    <a:defRPr sz="1600" b="1">
                      <a:solidFill>
                        <a:schemeClr val="bg1"/>
                      </a:solidFill>
                    </a:defRPr>
                  </a:pPr>
                  <a:endParaRPr lang="ru-RU"/>
                </a:p>
              </c:txPr>
              <c:showPercent val="1"/>
            </c:dLbl>
            <c:dLbl>
              <c:idx val="1"/>
              <c:layout>
                <c:manualLayout>
                  <c:x val="1.6271555918875868E-2"/>
                  <c:y val="-4.0920375462668378E-2"/>
                </c:manualLayout>
              </c:layout>
              <c:showPercent val="1"/>
            </c:dLbl>
            <c:dLbl>
              <c:idx val="2"/>
              <c:layout>
                <c:manualLayout>
                  <c:x val="3.8070584968390934E-2"/>
                  <c:y val="-0.27879442262971676"/>
                </c:manualLayout>
              </c:layout>
              <c:spPr/>
              <c:txPr>
                <a:bodyPr/>
                <a:lstStyle/>
                <a:p>
                  <a:pPr>
                    <a:defRPr sz="2800" b="1"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Percent val="1"/>
            </c:dLbl>
            <c:txPr>
              <a:bodyPr/>
              <a:lstStyle/>
              <a:p>
                <a:pPr>
                  <a:defRPr sz="1600" b="1"/>
                </a:pPr>
                <a:endParaRPr lang="ru-RU"/>
              </a:p>
            </c:txPr>
            <c:showPercent val="1"/>
            <c:showLeaderLines val="1"/>
          </c:dLbls>
          <c:cat>
            <c:strRef>
              <c:f>'4.7 '!$S$6:$T$8</c:f>
              <c:strCache>
                <c:ptCount val="3"/>
                <c:pt idx="0">
                  <c:v>юридическое лицо</c:v>
                </c:pt>
                <c:pt idx="1">
                  <c:v>индивидуальный предприниматель</c:v>
                </c:pt>
                <c:pt idx="2">
                  <c:v>физическое лицо</c:v>
                </c:pt>
              </c:strCache>
            </c:strRef>
          </c:cat>
          <c:val>
            <c:numRef>
              <c:f>'4.7 '!$V$6:$V$8</c:f>
              <c:numCache>
                <c:formatCode>General</c:formatCode>
                <c:ptCount val="3"/>
                <c:pt idx="0">
                  <c:v>8.3459787556904405E-2</c:v>
                </c:pt>
                <c:pt idx="1">
                  <c:v>1.2139605462822459E-2</c:v>
                </c:pt>
                <c:pt idx="2">
                  <c:v>0.90440060698027314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>
        <c:manualLayout>
          <c:xMode val="edge"/>
          <c:yMode val="edge"/>
          <c:x val="0.74622499508930962"/>
          <c:y val="0.28126644207001616"/>
          <c:w val="0.23530155957127241"/>
          <c:h val="0.50572717535243039"/>
        </c:manualLayout>
      </c:layout>
      <c:txPr>
        <a:bodyPr/>
        <a:lstStyle/>
        <a:p>
          <a:pPr rtl="0">
            <a:defRPr sz="1600"/>
          </a:pPr>
          <a:endParaRPr lang="ru-RU"/>
        </a:p>
      </c:txPr>
    </c:legend>
    <c:plotVisOnly val="1"/>
  </c:chart>
  <c:spPr>
    <a:scene3d>
      <a:camera prst="orthographicFront"/>
      <a:lightRig rig="threePt" dir="t"/>
    </a:scene3d>
    <a:sp3d>
      <a:bevelT w="6350"/>
    </a:sp3d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1</xdr:col>
      <xdr:colOff>1000125</xdr:colOff>
      <xdr:row>21</xdr:row>
      <xdr:rowOff>0</xdr:rowOff>
    </xdr:to>
    <xdr:pic>
      <xdr:nvPicPr>
        <xdr:cNvPr id="20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020425"/>
          <a:ext cx="1000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467932</xdr:colOff>
      <xdr:row>252</xdr:row>
      <xdr:rowOff>10582</xdr:rowOff>
    </xdr:from>
    <xdr:to>
      <xdr:col>23</xdr:col>
      <xdr:colOff>604057</xdr:colOff>
      <xdr:row>276</xdr:row>
      <xdr:rowOff>139749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27213</xdr:colOff>
      <xdr:row>225</xdr:row>
      <xdr:rowOff>136072</xdr:rowOff>
    </xdr:from>
    <xdr:to>
      <xdr:col>24</xdr:col>
      <xdr:colOff>163338</xdr:colOff>
      <xdr:row>248</xdr:row>
      <xdr:rowOff>5947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54427</xdr:colOff>
      <xdr:row>174</xdr:row>
      <xdr:rowOff>163285</xdr:rowOff>
    </xdr:from>
    <xdr:to>
      <xdr:col>24</xdr:col>
      <xdr:colOff>190552</xdr:colOff>
      <xdr:row>199</xdr:row>
      <xdr:rowOff>80785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127907</xdr:colOff>
      <xdr:row>133</xdr:row>
      <xdr:rowOff>29935</xdr:rowOff>
    </xdr:from>
    <xdr:to>
      <xdr:col>24</xdr:col>
      <xdr:colOff>264032</xdr:colOff>
      <xdr:row>157</xdr:row>
      <xdr:rowOff>137935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498929</xdr:colOff>
      <xdr:row>86</xdr:row>
      <xdr:rowOff>187476</xdr:rowOff>
    </xdr:from>
    <xdr:to>
      <xdr:col>24</xdr:col>
      <xdr:colOff>21221</xdr:colOff>
      <xdr:row>111</xdr:row>
      <xdr:rowOff>104977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95251</xdr:colOff>
      <xdr:row>50</xdr:row>
      <xdr:rowOff>122465</xdr:rowOff>
    </xdr:from>
    <xdr:to>
      <xdr:col>24</xdr:col>
      <xdr:colOff>231376</xdr:colOff>
      <xdr:row>75</xdr:row>
      <xdr:rowOff>39965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27215</xdr:colOff>
      <xdr:row>11</xdr:row>
      <xdr:rowOff>13606</xdr:rowOff>
    </xdr:from>
    <xdr:to>
      <xdr:col>24</xdr:col>
      <xdr:colOff>163340</xdr:colOff>
      <xdr:row>34</xdr:row>
      <xdr:rowOff>50168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33"/>
  <sheetViews>
    <sheetView view="pageBreakPreview" zoomScaleNormal="100" zoomScaleSheetLayoutView="100" workbookViewId="0">
      <selection activeCell="Q24" sqref="Q24"/>
    </sheetView>
  </sheetViews>
  <sheetFormatPr defaultColWidth="9.140625" defaultRowHeight="15"/>
  <cols>
    <col min="1" max="1" width="6.85546875" style="25" customWidth="1"/>
    <col min="2" max="3" width="20.7109375" style="25" customWidth="1"/>
    <col min="4" max="11" width="20.7109375" style="25" hidden="1" customWidth="1"/>
    <col min="12" max="13" width="20.7109375" style="25" customWidth="1"/>
    <col min="14" max="14" width="18.28515625" style="25" customWidth="1"/>
    <col min="15" max="16384" width="9.140625" style="25"/>
  </cols>
  <sheetData>
    <row r="1" spans="1:14" ht="78" customHeight="1">
      <c r="A1" s="298" t="s">
        <v>176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</row>
    <row r="2" spans="1:14" ht="51.75" customHeight="1">
      <c r="A2" s="299" t="s">
        <v>646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</row>
    <row r="3" spans="1:14" ht="15.75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</row>
    <row r="4" spans="1:14">
      <c r="A4" s="25" t="s">
        <v>9</v>
      </c>
    </row>
    <row r="5" spans="1:14" ht="18" customHeight="1">
      <c r="A5" s="300" t="s">
        <v>143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42"/>
    </row>
    <row r="6" spans="1:14" ht="15.75" thickBot="1"/>
    <row r="7" spans="1:14" ht="36.75" customHeight="1" thickBot="1">
      <c r="A7" s="297" t="s">
        <v>182</v>
      </c>
      <c r="B7" s="297" t="s">
        <v>153</v>
      </c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</row>
    <row r="8" spans="1:14" ht="45" customHeight="1" thickBot="1">
      <c r="A8" s="297"/>
      <c r="B8" s="112" t="s">
        <v>183</v>
      </c>
      <c r="C8" s="114" t="s">
        <v>37</v>
      </c>
      <c r="D8" s="113"/>
      <c r="E8" s="113"/>
      <c r="F8" s="113"/>
      <c r="G8" s="113"/>
      <c r="H8" s="113"/>
      <c r="I8" s="113"/>
      <c r="J8" s="113"/>
      <c r="K8" s="113"/>
      <c r="L8" s="113" t="s">
        <v>631</v>
      </c>
      <c r="M8" s="113" t="s">
        <v>645</v>
      </c>
      <c r="N8" s="114" t="s">
        <v>77</v>
      </c>
    </row>
    <row r="9" spans="1:14" ht="15.75" thickBot="1">
      <c r="A9" s="114">
        <v>1</v>
      </c>
      <c r="B9" s="114">
        <v>2</v>
      </c>
      <c r="C9" s="114">
        <v>3</v>
      </c>
      <c r="D9" s="114"/>
      <c r="E9" s="114"/>
      <c r="F9" s="114"/>
      <c r="G9" s="114"/>
      <c r="H9" s="114"/>
      <c r="I9" s="114"/>
      <c r="J9" s="114"/>
      <c r="K9" s="114"/>
      <c r="L9" s="114">
        <v>6</v>
      </c>
      <c r="M9" s="243"/>
      <c r="N9" s="114">
        <v>7</v>
      </c>
    </row>
    <row r="10" spans="1:14" ht="15.75" thickBot="1">
      <c r="A10" s="115">
        <v>1</v>
      </c>
      <c r="B10" s="294" t="s">
        <v>154</v>
      </c>
      <c r="C10" s="294"/>
      <c r="D10" s="46"/>
      <c r="E10" s="46"/>
      <c r="F10" s="46"/>
      <c r="G10" s="46"/>
      <c r="H10" s="46"/>
      <c r="I10" s="46"/>
      <c r="J10" s="46"/>
      <c r="K10" s="46"/>
      <c r="L10" s="46">
        <f>SUM(L11:L16)</f>
        <v>1593</v>
      </c>
      <c r="M10" s="46">
        <f>SUM(M11:M16)</f>
        <v>1689</v>
      </c>
      <c r="N10" s="118">
        <f>(M10-L10)/L10*100</f>
        <v>6.0263653483992465</v>
      </c>
    </row>
    <row r="11" spans="1:14" ht="15.75" thickBot="1">
      <c r="A11" s="296" t="s">
        <v>124</v>
      </c>
      <c r="B11" s="295" t="s">
        <v>5</v>
      </c>
      <c r="C11" s="116">
        <v>1</v>
      </c>
      <c r="D11" s="117"/>
      <c r="E11" s="117"/>
      <c r="F11" s="117"/>
      <c r="G11" s="117"/>
      <c r="H11" s="117"/>
      <c r="I11" s="117"/>
      <c r="J11" s="117"/>
      <c r="K11" s="117"/>
      <c r="L11" s="117">
        <v>1</v>
      </c>
      <c r="M11" s="117">
        <v>1</v>
      </c>
      <c r="N11" s="259"/>
    </row>
    <row r="12" spans="1:14" ht="15.75" thickBot="1">
      <c r="A12" s="296"/>
      <c r="B12" s="295"/>
      <c r="C12" s="116">
        <v>2</v>
      </c>
      <c r="D12" s="117"/>
      <c r="E12" s="117"/>
      <c r="F12" s="117"/>
      <c r="G12" s="117"/>
      <c r="H12" s="117"/>
      <c r="I12" s="117"/>
      <c r="J12" s="117"/>
      <c r="K12" s="117"/>
      <c r="L12" s="117">
        <v>33</v>
      </c>
      <c r="M12" s="117">
        <v>33</v>
      </c>
      <c r="N12" s="259"/>
    </row>
    <row r="13" spans="1:14" ht="15.75" thickBot="1">
      <c r="A13" s="296"/>
      <c r="B13" s="295"/>
      <c r="C13" s="116">
        <v>3</v>
      </c>
      <c r="D13" s="117"/>
      <c r="E13" s="117"/>
      <c r="F13" s="117"/>
      <c r="G13" s="117"/>
      <c r="H13" s="117"/>
      <c r="I13" s="117"/>
      <c r="J13" s="117"/>
      <c r="K13" s="117"/>
      <c r="L13" s="117">
        <v>155</v>
      </c>
      <c r="M13" s="117">
        <v>434</v>
      </c>
      <c r="N13" s="291">
        <f>(M13-L13)/L13*100</f>
        <v>180</v>
      </c>
    </row>
    <row r="14" spans="1:14" ht="15.75" thickBot="1">
      <c r="A14" s="296" t="s">
        <v>125</v>
      </c>
      <c r="B14" s="295" t="s">
        <v>6</v>
      </c>
      <c r="C14" s="116">
        <v>1</v>
      </c>
      <c r="D14" s="117"/>
      <c r="E14" s="117"/>
      <c r="F14" s="117"/>
      <c r="G14" s="117"/>
      <c r="H14" s="117"/>
      <c r="I14" s="117"/>
      <c r="J14" s="117"/>
      <c r="K14" s="117"/>
      <c r="L14" s="117">
        <v>0</v>
      </c>
      <c r="M14" s="117"/>
      <c r="N14" s="259"/>
    </row>
    <row r="15" spans="1:14" ht="15.75" thickBot="1">
      <c r="A15" s="296"/>
      <c r="B15" s="295"/>
      <c r="C15" s="116">
        <v>2</v>
      </c>
      <c r="D15" s="117"/>
      <c r="E15" s="117"/>
      <c r="F15" s="117"/>
      <c r="G15" s="117"/>
      <c r="H15" s="117"/>
      <c r="I15" s="117"/>
      <c r="J15" s="117"/>
      <c r="K15" s="117"/>
      <c r="L15" s="117">
        <v>0</v>
      </c>
      <c r="M15" s="117"/>
      <c r="N15" s="259"/>
    </row>
    <row r="16" spans="1:14" ht="15.75" thickBot="1">
      <c r="A16" s="296"/>
      <c r="B16" s="295"/>
      <c r="C16" s="116">
        <v>3</v>
      </c>
      <c r="D16" s="117"/>
      <c r="E16" s="117"/>
      <c r="F16" s="117"/>
      <c r="G16" s="117"/>
      <c r="H16" s="117"/>
      <c r="I16" s="117"/>
      <c r="J16" s="117"/>
      <c r="K16" s="117"/>
      <c r="L16" s="117">
        <v>1404</v>
      </c>
      <c r="M16" s="117">
        <v>1221</v>
      </c>
      <c r="N16" s="259">
        <f>(M16-L16)/L16*100</f>
        <v>-13.034188034188036</v>
      </c>
    </row>
    <row r="17" spans="1:14" ht="15.75" thickBot="1">
      <c r="A17" s="45">
        <v>2</v>
      </c>
      <c r="B17" s="294" t="s">
        <v>155</v>
      </c>
      <c r="C17" s="294"/>
      <c r="D17" s="46"/>
      <c r="E17" s="46"/>
      <c r="F17" s="46"/>
      <c r="G17" s="46"/>
      <c r="H17" s="46"/>
      <c r="I17" s="46"/>
      <c r="J17" s="46"/>
      <c r="K17" s="46"/>
      <c r="L17" s="46">
        <f>SUM(L18:L23)</f>
        <v>29048</v>
      </c>
      <c r="M17" s="46">
        <f>SUM(M18:M23)</f>
        <v>29314</v>
      </c>
      <c r="N17" s="118">
        <f>(M17-L17)/L17*100</f>
        <v>0.91572569540071602</v>
      </c>
    </row>
    <row r="18" spans="1:14" ht="15.75" thickBot="1">
      <c r="A18" s="296" t="s">
        <v>127</v>
      </c>
      <c r="B18" s="295" t="s">
        <v>5</v>
      </c>
      <c r="C18" s="116">
        <v>1</v>
      </c>
      <c r="D18" s="117"/>
      <c r="E18" s="117"/>
      <c r="F18" s="117"/>
      <c r="G18" s="117"/>
      <c r="H18" s="117"/>
      <c r="I18" s="117"/>
      <c r="J18" s="117"/>
      <c r="K18" s="117"/>
      <c r="L18" s="117">
        <v>0</v>
      </c>
      <c r="M18" s="117"/>
      <c r="N18" s="259"/>
    </row>
    <row r="19" spans="1:14" ht="15.75" thickBot="1">
      <c r="A19" s="296"/>
      <c r="B19" s="295"/>
      <c r="C19" s="116">
        <v>2</v>
      </c>
      <c r="D19" s="117"/>
      <c r="E19" s="117"/>
      <c r="F19" s="117"/>
      <c r="G19" s="117"/>
      <c r="H19" s="117"/>
      <c r="I19" s="117"/>
      <c r="J19" s="117"/>
      <c r="K19" s="117"/>
      <c r="L19" s="117">
        <v>0</v>
      </c>
      <c r="M19" s="117"/>
      <c r="N19" s="259"/>
    </row>
    <row r="20" spans="1:14" ht="15.75" thickBot="1">
      <c r="A20" s="296"/>
      <c r="B20" s="295"/>
      <c r="C20" s="116">
        <v>3</v>
      </c>
      <c r="D20" s="117"/>
      <c r="E20" s="117"/>
      <c r="F20" s="117"/>
      <c r="G20" s="117"/>
      <c r="H20" s="117"/>
      <c r="I20" s="117"/>
      <c r="J20" s="117"/>
      <c r="K20" s="117"/>
      <c r="L20" s="117">
        <v>0</v>
      </c>
      <c r="M20" s="117"/>
      <c r="N20" s="259"/>
    </row>
    <row r="21" spans="1:14" ht="15.75" thickBot="1">
      <c r="A21" s="296" t="s">
        <v>128</v>
      </c>
      <c r="B21" s="295" t="s">
        <v>6</v>
      </c>
      <c r="C21" s="116">
        <v>1</v>
      </c>
      <c r="D21" s="117"/>
      <c r="E21" s="117"/>
      <c r="F21" s="117"/>
      <c r="G21" s="117"/>
      <c r="H21" s="117"/>
      <c r="I21" s="117"/>
      <c r="J21" s="117"/>
      <c r="K21" s="117"/>
      <c r="L21" s="117">
        <v>0</v>
      </c>
      <c r="M21" s="117"/>
      <c r="N21" s="259"/>
    </row>
    <row r="22" spans="1:14" ht="15.75" thickBot="1">
      <c r="A22" s="296"/>
      <c r="B22" s="295"/>
      <c r="C22" s="116">
        <v>2</v>
      </c>
      <c r="D22" s="117"/>
      <c r="E22" s="117"/>
      <c r="F22" s="117"/>
      <c r="G22" s="117"/>
      <c r="H22" s="117"/>
      <c r="I22" s="117"/>
      <c r="J22" s="117"/>
      <c r="K22" s="117"/>
      <c r="L22" s="117">
        <v>0</v>
      </c>
      <c r="M22" s="117"/>
      <c r="N22" s="259"/>
    </row>
    <row r="23" spans="1:14" ht="15.75" thickBot="1">
      <c r="A23" s="296"/>
      <c r="B23" s="295"/>
      <c r="C23" s="116">
        <v>3</v>
      </c>
      <c r="D23" s="117"/>
      <c r="E23" s="117"/>
      <c r="F23" s="117"/>
      <c r="G23" s="117"/>
      <c r="H23" s="117"/>
      <c r="I23" s="117"/>
      <c r="J23" s="117"/>
      <c r="K23" s="117"/>
      <c r="L23" s="117">
        <v>29048</v>
      </c>
      <c r="M23" s="117">
        <v>29314</v>
      </c>
      <c r="N23" s="259">
        <f>(M23-L23)/L23*100</f>
        <v>0.91572569540071602</v>
      </c>
    </row>
    <row r="24" spans="1:14" ht="15.75" thickBot="1">
      <c r="A24" s="45" t="s">
        <v>129</v>
      </c>
      <c r="B24" s="293" t="s">
        <v>156</v>
      </c>
      <c r="C24" s="293"/>
      <c r="D24" s="46"/>
      <c r="E24" s="46"/>
      <c r="F24" s="46"/>
      <c r="G24" s="46"/>
      <c r="H24" s="46"/>
      <c r="I24" s="46"/>
      <c r="J24" s="46"/>
      <c r="K24" s="46"/>
      <c r="L24" s="46">
        <f>L10+L17</f>
        <v>30641</v>
      </c>
      <c r="M24" s="46">
        <f>M10+M17</f>
        <v>31003</v>
      </c>
      <c r="N24" s="118">
        <f>(M24-L24)/L24*100</f>
        <v>1.1814235827812407</v>
      </c>
    </row>
    <row r="25" spans="1:14">
      <c r="B25" s="47" t="s">
        <v>144</v>
      </c>
    </row>
    <row r="26" spans="1:14">
      <c r="A26" s="292" t="s">
        <v>166</v>
      </c>
      <c r="B26" s="292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42"/>
    </row>
    <row r="27" spans="1:14">
      <c r="B27" s="47"/>
    </row>
    <row r="28" spans="1:14" s="44" customFormat="1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</row>
    <row r="29" spans="1:14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</row>
    <row r="30" spans="1:14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</row>
    <row r="31" spans="1:14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</row>
    <row r="32" spans="1:14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</row>
    <row r="33" spans="1:13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</row>
  </sheetData>
  <mergeCells count="19">
    <mergeCell ref="A1:N1"/>
    <mergeCell ref="A2:N2"/>
    <mergeCell ref="A5:L5"/>
    <mergeCell ref="A3:N3"/>
    <mergeCell ref="A7:A8"/>
    <mergeCell ref="A14:A16"/>
    <mergeCell ref="B14:B16"/>
    <mergeCell ref="D7:N7"/>
    <mergeCell ref="B10:C10"/>
    <mergeCell ref="A11:A13"/>
    <mergeCell ref="B7:C7"/>
    <mergeCell ref="B11:B13"/>
    <mergeCell ref="A26:L26"/>
    <mergeCell ref="B24:C24"/>
    <mergeCell ref="B17:C17"/>
    <mergeCell ref="B18:B20"/>
    <mergeCell ref="B21:B23"/>
    <mergeCell ref="A21:A23"/>
    <mergeCell ref="A18:A20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9"/>
  <sheetViews>
    <sheetView zoomScale="160" zoomScaleNormal="160" zoomScaleSheetLayoutView="110" workbookViewId="0">
      <selection activeCell="E23" sqref="E23"/>
    </sheetView>
  </sheetViews>
  <sheetFormatPr defaultColWidth="9.140625" defaultRowHeight="15"/>
  <cols>
    <col min="1" max="16384" width="9.140625" style="2"/>
  </cols>
  <sheetData>
    <row r="2" spans="1:1" ht="15.75">
      <c r="A2" s="49" t="s">
        <v>168</v>
      </c>
    </row>
    <row r="4" spans="1:1">
      <c r="A4" s="2" t="s">
        <v>240</v>
      </c>
    </row>
    <row r="5" spans="1:1">
      <c r="A5" s="2" t="s">
        <v>281</v>
      </c>
    </row>
    <row r="6" spans="1:1">
      <c r="A6" s="2" t="s">
        <v>289</v>
      </c>
    </row>
    <row r="7" spans="1:1">
      <c r="A7" s="2" t="s">
        <v>277</v>
      </c>
    </row>
    <row r="8" spans="1:1">
      <c r="A8" s="2" t="s">
        <v>280</v>
      </c>
    </row>
    <row r="9" spans="1:1">
      <c r="A9" s="2" t="s">
        <v>279</v>
      </c>
    </row>
  </sheetData>
  <pageMargins left="0.74803149606299213" right="0.74803149606299213" top="0.98425196850393704" bottom="0.98425196850393704" header="0.51181102362204722" footer="0.51181102362204722"/>
  <pageSetup paperSize="9" scale="6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17"/>
  <sheetViews>
    <sheetView zoomScale="90" zoomScaleNormal="90" zoomScaleSheetLayoutView="85" workbookViewId="0">
      <pane ySplit="5" topLeftCell="A9" activePane="bottomLeft" state="frozen"/>
      <selection pane="bottomLeft" activeCell="I14" sqref="I14"/>
    </sheetView>
  </sheetViews>
  <sheetFormatPr defaultColWidth="9.140625" defaultRowHeight="15"/>
  <cols>
    <col min="1" max="1" width="9.140625" style="2"/>
    <col min="2" max="2" width="27.28515625" style="2" customWidth="1"/>
    <col min="3" max="4" width="9.140625" style="2"/>
    <col min="5" max="5" width="11" style="2" customWidth="1"/>
    <col min="6" max="7" width="9.140625" style="2"/>
    <col min="8" max="8" width="10.85546875" style="2" customWidth="1"/>
    <col min="9" max="10" width="9.140625" style="2"/>
    <col min="11" max="11" width="10.7109375" style="2" customWidth="1"/>
    <col min="12" max="13" width="9.140625" style="2"/>
    <col min="14" max="14" width="10.85546875" style="2" customWidth="1"/>
    <col min="15" max="16" width="9.140625" style="2"/>
    <col min="17" max="17" width="11" style="2" customWidth="1"/>
    <col min="18" max="18" width="11.5703125" style="2" bestFit="1" customWidth="1"/>
    <col min="19" max="16384" width="9.140625" style="2"/>
  </cols>
  <sheetData>
    <row r="1" spans="1:24" ht="43.5" customHeight="1">
      <c r="A1" s="323" t="s">
        <v>169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</row>
    <row r="2" spans="1:24" ht="15" customHeight="1">
      <c r="A2" s="315" t="s">
        <v>0</v>
      </c>
      <c r="B2" s="315" t="s">
        <v>1</v>
      </c>
      <c r="C2" s="315" t="s">
        <v>18</v>
      </c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 t="s">
        <v>19</v>
      </c>
    </row>
    <row r="3" spans="1:24" ht="15" customHeight="1">
      <c r="A3" s="315"/>
      <c r="B3" s="315"/>
      <c r="C3" s="315" t="s">
        <v>20</v>
      </c>
      <c r="D3" s="315"/>
      <c r="E3" s="315"/>
      <c r="F3" s="315" t="s">
        <v>21</v>
      </c>
      <c r="G3" s="315"/>
      <c r="H3" s="315"/>
      <c r="I3" s="315" t="s">
        <v>22</v>
      </c>
      <c r="J3" s="315"/>
      <c r="K3" s="315"/>
      <c r="L3" s="315" t="s">
        <v>23</v>
      </c>
      <c r="M3" s="315"/>
      <c r="N3" s="315"/>
      <c r="O3" s="315" t="s">
        <v>24</v>
      </c>
      <c r="P3" s="315"/>
      <c r="Q3" s="315"/>
      <c r="R3" s="315"/>
    </row>
    <row r="4" spans="1:24" ht="60">
      <c r="A4" s="315"/>
      <c r="B4" s="315"/>
      <c r="C4" s="262">
        <v>2018</v>
      </c>
      <c r="D4" s="262">
        <v>2019</v>
      </c>
      <c r="E4" s="262" t="s">
        <v>25</v>
      </c>
      <c r="F4" s="262">
        <v>2018</v>
      </c>
      <c r="G4" s="262">
        <v>2019</v>
      </c>
      <c r="H4" s="262" t="s">
        <v>25</v>
      </c>
      <c r="I4" s="262">
        <v>2018</v>
      </c>
      <c r="J4" s="262">
        <v>2019</v>
      </c>
      <c r="K4" s="262" t="s">
        <v>25</v>
      </c>
      <c r="L4" s="262">
        <v>2018</v>
      </c>
      <c r="M4" s="262">
        <v>2019</v>
      </c>
      <c r="N4" s="262" t="s">
        <v>25</v>
      </c>
      <c r="O4" s="262">
        <v>2018</v>
      </c>
      <c r="P4" s="262">
        <v>2019</v>
      </c>
      <c r="Q4" s="262" t="s">
        <v>25</v>
      </c>
      <c r="R4" s="8"/>
    </row>
    <row r="5" spans="1:24" ht="15.75" customHeight="1">
      <c r="A5" s="262">
        <v>1</v>
      </c>
      <c r="B5" s="262">
        <v>2</v>
      </c>
      <c r="C5" s="262">
        <v>3</v>
      </c>
      <c r="D5" s="262">
        <v>4</v>
      </c>
      <c r="E5" s="262">
        <v>5</v>
      </c>
      <c r="F5" s="262">
        <v>6</v>
      </c>
      <c r="G5" s="262">
        <v>7</v>
      </c>
      <c r="H5" s="262">
        <v>8</v>
      </c>
      <c r="I5" s="262">
        <v>9</v>
      </c>
      <c r="J5" s="262">
        <v>10</v>
      </c>
      <c r="K5" s="262">
        <v>11</v>
      </c>
      <c r="L5" s="262">
        <v>12</v>
      </c>
      <c r="M5" s="262">
        <v>13</v>
      </c>
      <c r="N5" s="262">
        <v>14</v>
      </c>
      <c r="O5" s="262">
        <v>15</v>
      </c>
      <c r="P5" s="262">
        <v>16</v>
      </c>
      <c r="Q5" s="262">
        <v>17</v>
      </c>
      <c r="R5" s="262">
        <v>18</v>
      </c>
    </row>
    <row r="6" spans="1:24" ht="60">
      <c r="A6" s="6">
        <v>1</v>
      </c>
      <c r="B6" s="5" t="s">
        <v>26</v>
      </c>
      <c r="C6" s="262">
        <v>741</v>
      </c>
      <c r="D6" s="271">
        <v>734</v>
      </c>
      <c r="E6" s="272">
        <f>(D6*100/C6)-100</f>
        <v>-0.94466936572199245</v>
      </c>
      <c r="F6" s="271">
        <v>30</v>
      </c>
      <c r="G6" s="271">
        <v>33</v>
      </c>
      <c r="H6" s="272">
        <f>(G6*100/F6)-100</f>
        <v>10</v>
      </c>
      <c r="I6" s="271">
        <v>3</v>
      </c>
      <c r="J6" s="271">
        <v>3</v>
      </c>
      <c r="K6" s="272">
        <f>(J6*100/I6)-100</f>
        <v>0</v>
      </c>
      <c r="L6" s="262">
        <v>0</v>
      </c>
      <c r="M6" s="262">
        <v>4</v>
      </c>
      <c r="N6" s="6"/>
      <c r="O6" s="262">
        <v>0</v>
      </c>
      <c r="P6" s="262">
        <v>0</v>
      </c>
      <c r="Q6" s="262">
        <v>0</v>
      </c>
      <c r="R6" s="262">
        <v>0</v>
      </c>
    </row>
    <row r="7" spans="1:24" ht="123.75" customHeight="1">
      <c r="A7" s="6">
        <v>2</v>
      </c>
      <c r="B7" s="8" t="s">
        <v>27</v>
      </c>
      <c r="C7" s="262">
        <v>741</v>
      </c>
      <c r="D7" s="271">
        <v>734</v>
      </c>
      <c r="E7" s="272">
        <f>(D7*100/C7)-100</f>
        <v>-0.94466936572199245</v>
      </c>
      <c r="F7" s="271">
        <v>30</v>
      </c>
      <c r="G7" s="271">
        <v>33</v>
      </c>
      <c r="H7" s="272">
        <f>(G7*100/F7)-100</f>
        <v>10</v>
      </c>
      <c r="I7" s="271">
        <v>3</v>
      </c>
      <c r="J7" s="271">
        <v>3</v>
      </c>
      <c r="K7" s="272">
        <v>0</v>
      </c>
      <c r="L7" s="262">
        <v>0</v>
      </c>
      <c r="M7" s="262">
        <v>4</v>
      </c>
      <c r="N7" s="262">
        <v>0</v>
      </c>
      <c r="O7" s="262">
        <v>0</v>
      </c>
      <c r="P7" s="262">
        <v>0</v>
      </c>
      <c r="Q7" s="262">
        <v>0</v>
      </c>
      <c r="R7" s="262">
        <v>0</v>
      </c>
      <c r="X7" s="253"/>
    </row>
    <row r="8" spans="1:24" ht="210">
      <c r="A8" s="6">
        <v>3</v>
      </c>
      <c r="B8" s="8" t="s">
        <v>28</v>
      </c>
      <c r="C8" s="262">
        <v>0</v>
      </c>
      <c r="D8" s="271">
        <v>0</v>
      </c>
      <c r="E8" s="272">
        <v>0</v>
      </c>
      <c r="F8" s="271">
        <v>0</v>
      </c>
      <c r="G8" s="271">
        <v>0</v>
      </c>
      <c r="H8" s="272">
        <v>0</v>
      </c>
      <c r="I8" s="271">
        <v>0</v>
      </c>
      <c r="J8" s="271">
        <v>0</v>
      </c>
      <c r="K8" s="271">
        <v>0</v>
      </c>
      <c r="L8" s="262">
        <v>0</v>
      </c>
      <c r="M8" s="262">
        <v>0</v>
      </c>
      <c r="N8" s="262">
        <v>0</v>
      </c>
      <c r="O8" s="262">
        <v>0</v>
      </c>
      <c r="P8" s="262">
        <v>0</v>
      </c>
      <c r="Q8" s="262">
        <v>0</v>
      </c>
      <c r="R8" s="262">
        <v>0</v>
      </c>
    </row>
    <row r="9" spans="1:24">
      <c r="A9" s="6">
        <v>4</v>
      </c>
      <c r="B9" s="8" t="s">
        <v>29</v>
      </c>
      <c r="C9" s="262">
        <v>0</v>
      </c>
      <c r="D9" s="271">
        <v>0</v>
      </c>
      <c r="E9" s="272">
        <v>0</v>
      </c>
      <c r="F9" s="271">
        <v>0</v>
      </c>
      <c r="G9" s="271">
        <v>0</v>
      </c>
      <c r="H9" s="272">
        <v>0</v>
      </c>
      <c r="I9" s="271">
        <v>0</v>
      </c>
      <c r="J9" s="271">
        <v>0</v>
      </c>
      <c r="K9" s="271">
        <v>0</v>
      </c>
      <c r="L9" s="262">
        <v>0</v>
      </c>
      <c r="M9" s="262">
        <v>0</v>
      </c>
      <c r="N9" s="262">
        <v>0</v>
      </c>
      <c r="O9" s="262">
        <v>0</v>
      </c>
      <c r="P9" s="262">
        <v>0</v>
      </c>
      <c r="Q9" s="262">
        <v>0</v>
      </c>
      <c r="R9" s="262">
        <v>0</v>
      </c>
    </row>
    <row r="10" spans="1:24">
      <c r="A10" s="6">
        <v>5</v>
      </c>
      <c r="B10" s="8" t="s">
        <v>30</v>
      </c>
      <c r="C10" s="262">
        <v>0</v>
      </c>
      <c r="D10" s="271">
        <v>0</v>
      </c>
      <c r="E10" s="272">
        <v>0</v>
      </c>
      <c r="F10" s="271">
        <v>0</v>
      </c>
      <c r="G10" s="271">
        <v>0</v>
      </c>
      <c r="H10" s="272">
        <v>0</v>
      </c>
      <c r="I10" s="271">
        <v>0</v>
      </c>
      <c r="J10" s="271">
        <v>0</v>
      </c>
      <c r="K10" s="271">
        <v>0</v>
      </c>
      <c r="L10" s="262">
        <v>0</v>
      </c>
      <c r="M10" s="262">
        <v>0</v>
      </c>
      <c r="N10" s="262">
        <v>0</v>
      </c>
      <c r="O10" s="262">
        <v>0</v>
      </c>
      <c r="P10" s="262">
        <v>0</v>
      </c>
      <c r="Q10" s="262">
        <v>0</v>
      </c>
      <c r="R10" s="262">
        <v>0</v>
      </c>
    </row>
    <row r="11" spans="1:24" ht="105" customHeight="1">
      <c r="A11" s="6">
        <v>6</v>
      </c>
      <c r="B11" s="8" t="s">
        <v>31</v>
      </c>
      <c r="C11" s="271">
        <v>8</v>
      </c>
      <c r="D11" s="271">
        <v>8</v>
      </c>
      <c r="E11" s="272">
        <f>(D11*100/C11)-100</f>
        <v>0</v>
      </c>
      <c r="F11" s="271">
        <v>6</v>
      </c>
      <c r="G11" s="271">
        <v>6</v>
      </c>
      <c r="H11" s="272">
        <f>(G11*100/F11)-100</f>
        <v>0</v>
      </c>
      <c r="I11" s="271">
        <v>6</v>
      </c>
      <c r="J11" s="271">
        <v>6</v>
      </c>
      <c r="K11" s="6">
        <v>0</v>
      </c>
      <c r="L11" s="262">
        <v>0</v>
      </c>
      <c r="M11" s="262">
        <v>5</v>
      </c>
      <c r="N11" s="262">
        <v>0</v>
      </c>
      <c r="O11" s="262">
        <v>0</v>
      </c>
      <c r="P11" s="262">
        <v>0</v>
      </c>
      <c r="Q11" s="262">
        <v>0</v>
      </c>
      <c r="R11" s="262">
        <v>0</v>
      </c>
    </row>
    <row r="12" spans="1:24" ht="76.5" customHeight="1">
      <c r="A12" s="6">
        <v>7</v>
      </c>
      <c r="B12" s="8" t="s">
        <v>32</v>
      </c>
      <c r="C12" s="262">
        <v>703</v>
      </c>
      <c r="D12" s="271">
        <v>663</v>
      </c>
      <c r="E12" s="6">
        <f>(D12*100/C12)-100</f>
        <v>-5.6899004267425255</v>
      </c>
      <c r="F12" s="262">
        <v>25</v>
      </c>
      <c r="G12" s="271">
        <v>28</v>
      </c>
      <c r="H12" s="272">
        <f>(G12*100/F12)-100</f>
        <v>12</v>
      </c>
      <c r="I12" s="271">
        <v>3</v>
      </c>
      <c r="J12" s="271">
        <v>1</v>
      </c>
      <c r="K12" s="272">
        <f>(J12*100/I12)-100</f>
        <v>-66.666666666666657</v>
      </c>
      <c r="L12" s="262">
        <v>0</v>
      </c>
      <c r="M12" s="262">
        <v>1</v>
      </c>
      <c r="N12" s="272"/>
      <c r="O12" s="262">
        <v>0</v>
      </c>
      <c r="P12" s="262">
        <v>0</v>
      </c>
      <c r="Q12" s="262">
        <v>0</v>
      </c>
      <c r="R12" s="262">
        <v>0</v>
      </c>
    </row>
    <row r="13" spans="1:24" ht="76.5" customHeight="1">
      <c r="A13" s="6">
        <v>8</v>
      </c>
      <c r="B13" s="8" t="s">
        <v>33</v>
      </c>
      <c r="C13" s="262">
        <v>710</v>
      </c>
      <c r="D13" s="271">
        <v>662</v>
      </c>
      <c r="E13" s="6">
        <f>(D13*100/C13)-100</f>
        <v>-6.7605633802816953</v>
      </c>
      <c r="F13" s="262">
        <v>25</v>
      </c>
      <c r="G13" s="271">
        <v>25</v>
      </c>
      <c r="H13" s="272">
        <f>(G13*100/F13)-100</f>
        <v>0</v>
      </c>
      <c r="I13" s="271">
        <v>1</v>
      </c>
      <c r="J13" s="271">
        <v>1</v>
      </c>
      <c r="K13" s="272">
        <f>(J13*100/I13)-100</f>
        <v>0</v>
      </c>
      <c r="L13" s="262">
        <v>0</v>
      </c>
      <c r="M13" s="262">
        <v>0</v>
      </c>
      <c r="N13" s="262">
        <v>0</v>
      </c>
      <c r="O13" s="262">
        <v>0</v>
      </c>
      <c r="P13" s="262">
        <v>0</v>
      </c>
      <c r="Q13" s="262">
        <v>0</v>
      </c>
      <c r="R13" s="262">
        <v>0</v>
      </c>
      <c r="U13" s="253"/>
    </row>
    <row r="14" spans="1:24" ht="168.75" customHeight="1">
      <c r="A14" s="6">
        <v>9</v>
      </c>
      <c r="B14" s="8" t="s">
        <v>34</v>
      </c>
      <c r="C14" s="262">
        <v>0</v>
      </c>
      <c r="D14" s="271">
        <v>0</v>
      </c>
      <c r="E14" s="6">
        <v>0</v>
      </c>
      <c r="F14" s="262">
        <v>0</v>
      </c>
      <c r="G14" s="271">
        <v>0</v>
      </c>
      <c r="H14" s="272">
        <v>0</v>
      </c>
      <c r="I14" s="271">
        <v>0</v>
      </c>
      <c r="J14" s="271">
        <v>0</v>
      </c>
      <c r="K14" s="262">
        <v>0</v>
      </c>
      <c r="L14" s="262">
        <v>0</v>
      </c>
      <c r="M14" s="262">
        <v>0</v>
      </c>
      <c r="N14" s="262">
        <v>0</v>
      </c>
      <c r="O14" s="262">
        <v>0</v>
      </c>
      <c r="P14" s="262">
        <v>0</v>
      </c>
      <c r="Q14" s="262">
        <v>0</v>
      </c>
      <c r="R14" s="262">
        <v>0</v>
      </c>
    </row>
    <row r="15" spans="1:24">
      <c r="A15" s="6">
        <v>10</v>
      </c>
      <c r="B15" s="8" t="s">
        <v>29</v>
      </c>
      <c r="C15" s="262">
        <v>0</v>
      </c>
      <c r="D15" s="271">
        <v>0</v>
      </c>
      <c r="E15" s="6">
        <v>0</v>
      </c>
      <c r="F15" s="262">
        <v>0</v>
      </c>
      <c r="G15" s="271">
        <v>0</v>
      </c>
      <c r="H15" s="272">
        <v>0</v>
      </c>
      <c r="I15" s="271">
        <v>0</v>
      </c>
      <c r="J15" s="271">
        <v>0</v>
      </c>
      <c r="K15" s="262">
        <v>0</v>
      </c>
      <c r="L15" s="262">
        <v>0</v>
      </c>
      <c r="M15" s="262">
        <v>0</v>
      </c>
      <c r="N15" s="262">
        <v>0</v>
      </c>
      <c r="O15" s="262">
        <v>0</v>
      </c>
      <c r="P15" s="262">
        <v>0</v>
      </c>
      <c r="Q15" s="262">
        <v>0</v>
      </c>
      <c r="R15" s="262">
        <v>0</v>
      </c>
    </row>
    <row r="16" spans="1:24" ht="15.75" customHeight="1">
      <c r="A16" s="6">
        <v>11</v>
      </c>
      <c r="B16" s="8" t="s">
        <v>35</v>
      </c>
      <c r="C16" s="262">
        <v>0</v>
      </c>
      <c r="D16" s="271">
        <v>0</v>
      </c>
      <c r="E16" s="6">
        <v>0</v>
      </c>
      <c r="F16" s="262">
        <v>0</v>
      </c>
      <c r="G16" s="271">
        <v>0</v>
      </c>
      <c r="H16" s="272">
        <v>0</v>
      </c>
      <c r="I16" s="271">
        <v>0</v>
      </c>
      <c r="J16" s="271">
        <v>0</v>
      </c>
      <c r="K16" s="262">
        <v>0</v>
      </c>
      <c r="L16" s="262">
        <v>0</v>
      </c>
      <c r="M16" s="262">
        <v>0</v>
      </c>
      <c r="N16" s="262">
        <v>0</v>
      </c>
      <c r="O16" s="262">
        <v>0</v>
      </c>
      <c r="P16" s="262">
        <v>0</v>
      </c>
      <c r="Q16" s="262">
        <v>0</v>
      </c>
      <c r="R16" s="262">
        <v>0</v>
      </c>
    </row>
    <row r="17" spans="1:18" ht="93" customHeight="1">
      <c r="A17" s="6">
        <v>12</v>
      </c>
      <c r="B17" s="8" t="s">
        <v>36</v>
      </c>
      <c r="C17" s="271">
        <v>62.35</v>
      </c>
      <c r="D17" s="271">
        <v>113</v>
      </c>
      <c r="E17" s="272">
        <f>(D17*100/C17)-100</f>
        <v>81.234963913392136</v>
      </c>
      <c r="F17" s="271">
        <v>54.8</v>
      </c>
      <c r="G17" s="271">
        <v>57.4</v>
      </c>
      <c r="H17" s="272">
        <f>(G17*100/F17)-100</f>
        <v>4.7445255474452637</v>
      </c>
      <c r="I17" s="271">
        <v>95</v>
      </c>
      <c r="J17" s="271">
        <v>277</v>
      </c>
      <c r="K17" s="6">
        <f>(J17*100/I17)-100</f>
        <v>191.57894736842104</v>
      </c>
      <c r="L17" s="262">
        <v>0</v>
      </c>
      <c r="M17" s="262">
        <v>0</v>
      </c>
      <c r="N17" s="262">
        <v>0</v>
      </c>
      <c r="O17" s="262">
        <v>0</v>
      </c>
      <c r="P17" s="262">
        <v>0</v>
      </c>
      <c r="Q17" s="262">
        <v>0</v>
      </c>
      <c r="R17" s="262">
        <v>0</v>
      </c>
    </row>
  </sheetData>
  <mergeCells count="10">
    <mergeCell ref="A1:R1"/>
    <mergeCell ref="A2:A4"/>
    <mergeCell ref="B2:B4"/>
    <mergeCell ref="C2:Q2"/>
    <mergeCell ref="R2:R3"/>
    <mergeCell ref="C3:E3"/>
    <mergeCell ref="F3:H3"/>
    <mergeCell ref="I3:K3"/>
    <mergeCell ref="L3:N3"/>
    <mergeCell ref="O3:Q3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2"/>
  <sheetViews>
    <sheetView zoomScaleNormal="100" zoomScaleSheetLayoutView="100" workbookViewId="0">
      <selection activeCell="E24" sqref="E24"/>
    </sheetView>
  </sheetViews>
  <sheetFormatPr defaultColWidth="9.140625" defaultRowHeight="15"/>
  <cols>
    <col min="1" max="1" width="18.28515625" style="263" customWidth="1"/>
    <col min="2" max="2" width="16.28515625" style="263" customWidth="1"/>
    <col min="3" max="3" width="9.140625" style="263"/>
    <col min="4" max="4" width="12.7109375" style="263" customWidth="1"/>
    <col min="5" max="5" width="9.28515625" style="263" customWidth="1"/>
    <col min="6" max="6" width="12.7109375" style="263" customWidth="1"/>
    <col min="7" max="7" width="13" style="263" customWidth="1"/>
    <col min="8" max="8" width="15" style="263" customWidth="1"/>
    <col min="9" max="9" width="14" style="263" customWidth="1"/>
    <col min="10" max="10" width="12.28515625" style="263" customWidth="1"/>
    <col min="11" max="11" width="13" style="263" customWidth="1"/>
    <col min="12" max="16384" width="9.140625" style="263"/>
  </cols>
  <sheetData>
    <row r="1" spans="1:11" ht="59.25" customHeight="1">
      <c r="A1" s="324" t="s">
        <v>275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</row>
    <row r="2" spans="1:11" ht="45" customHeight="1">
      <c r="A2" s="325" t="s">
        <v>276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</row>
    <row r="3" spans="1:11" ht="18.75" customHeight="1">
      <c r="A3" s="326"/>
      <c r="B3" s="326"/>
      <c r="C3" s="326"/>
      <c r="D3" s="326"/>
      <c r="E3" s="326"/>
      <c r="F3" s="326"/>
      <c r="G3" s="326"/>
      <c r="H3" s="326"/>
      <c r="I3" s="326"/>
      <c r="J3" s="326"/>
      <c r="K3" s="326"/>
    </row>
    <row r="4" spans="1:11" ht="15" customHeight="1">
      <c r="A4" s="264"/>
      <c r="B4" s="264"/>
      <c r="C4" s="264"/>
      <c r="D4" s="104"/>
      <c r="E4" s="104"/>
      <c r="F4" s="104"/>
      <c r="G4" s="104"/>
      <c r="H4" s="104"/>
      <c r="I4" s="104"/>
      <c r="J4" s="104"/>
      <c r="K4" s="104"/>
    </row>
    <row r="5" spans="1:11" s="105" customFormat="1" ht="76.5" customHeight="1">
      <c r="A5" s="64"/>
      <c r="B5" s="64"/>
      <c r="C5" s="64"/>
    </row>
    <row r="6" spans="1:11" ht="23.25" customHeight="1">
      <c r="C6" s="106"/>
      <c r="D6" s="105"/>
      <c r="E6" s="64"/>
      <c r="F6" s="105"/>
      <c r="G6" s="105"/>
      <c r="H6" s="107"/>
      <c r="I6" s="107"/>
      <c r="J6" s="105"/>
      <c r="K6" s="105"/>
    </row>
    <row r="7" spans="1:11">
      <c r="C7" s="106"/>
      <c r="D7" s="105"/>
      <c r="E7" s="64"/>
      <c r="F7" s="105"/>
      <c r="G7" s="105"/>
      <c r="H7" s="107"/>
      <c r="I7" s="107"/>
      <c r="J7" s="105"/>
      <c r="K7" s="105"/>
    </row>
    <row r="8" spans="1:11">
      <c r="C8" s="106"/>
      <c r="D8" s="105"/>
      <c r="E8" s="64"/>
      <c r="F8" s="105"/>
      <c r="G8" s="105"/>
      <c r="H8" s="105"/>
      <c r="I8" s="105"/>
      <c r="J8" s="105"/>
      <c r="K8" s="105"/>
    </row>
    <row r="9" spans="1:11">
      <c r="C9" s="106"/>
      <c r="D9" s="107"/>
      <c r="E9" s="64"/>
      <c r="F9" s="107"/>
      <c r="G9" s="107"/>
      <c r="H9" s="107"/>
      <c r="I9" s="107"/>
      <c r="J9" s="107"/>
      <c r="K9" s="107"/>
    </row>
    <row r="10" spans="1:11">
      <c r="C10" s="106"/>
      <c r="D10" s="105"/>
      <c r="E10" s="107"/>
      <c r="F10" s="105"/>
      <c r="G10" s="105"/>
      <c r="H10" s="107"/>
      <c r="I10" s="107"/>
      <c r="J10" s="105"/>
      <c r="K10" s="105"/>
    </row>
    <row r="11" spans="1:11">
      <c r="C11" s="106"/>
      <c r="D11" s="105"/>
      <c r="E11" s="107"/>
      <c r="F11" s="105"/>
      <c r="G11" s="105"/>
      <c r="H11" s="107"/>
      <c r="I11" s="107"/>
      <c r="J11" s="105"/>
      <c r="K11" s="105"/>
    </row>
    <row r="12" spans="1:11">
      <c r="C12" s="106"/>
      <c r="D12" s="105"/>
      <c r="E12" s="107"/>
      <c r="F12" s="105"/>
      <c r="G12" s="105"/>
      <c r="H12" s="105"/>
      <c r="I12" s="105"/>
      <c r="J12" s="105"/>
      <c r="K12" s="105"/>
    </row>
    <row r="13" spans="1:11">
      <c r="C13" s="106"/>
      <c r="D13" s="107"/>
      <c r="E13" s="107"/>
      <c r="F13" s="107"/>
      <c r="G13" s="107"/>
      <c r="H13" s="107"/>
      <c r="I13" s="107"/>
      <c r="J13" s="107"/>
      <c r="K13" s="107"/>
    </row>
    <row r="14" spans="1:11">
      <c r="C14" s="106"/>
      <c r="D14" s="105"/>
      <c r="E14" s="107"/>
      <c r="F14" s="105"/>
      <c r="G14" s="105"/>
      <c r="H14" s="107"/>
      <c r="I14" s="107"/>
      <c r="J14" s="105"/>
      <c r="K14" s="105"/>
    </row>
    <row r="15" spans="1:11">
      <c r="C15" s="106"/>
      <c r="D15" s="105"/>
      <c r="E15" s="107"/>
      <c r="F15" s="105"/>
      <c r="G15" s="105"/>
      <c r="H15" s="107"/>
      <c r="I15" s="107"/>
      <c r="J15" s="105"/>
      <c r="K15" s="105"/>
    </row>
    <row r="16" spans="1:11">
      <c r="C16" s="106"/>
      <c r="D16" s="105"/>
      <c r="E16" s="107"/>
      <c r="F16" s="105"/>
      <c r="G16" s="105"/>
      <c r="H16" s="105"/>
      <c r="I16" s="105"/>
      <c r="J16" s="105"/>
      <c r="K16" s="105"/>
    </row>
    <row r="17" spans="1:11">
      <c r="C17" s="106"/>
      <c r="D17" s="107"/>
      <c r="E17" s="107"/>
      <c r="F17" s="107"/>
      <c r="G17" s="107"/>
      <c r="H17" s="107"/>
      <c r="I17" s="107"/>
      <c r="J17" s="107"/>
      <c r="K17" s="107"/>
    </row>
    <row r="18" spans="1:11">
      <c r="C18" s="106"/>
      <c r="D18" s="105"/>
      <c r="E18" s="107"/>
      <c r="F18" s="105"/>
      <c r="G18" s="105"/>
      <c r="H18" s="107"/>
      <c r="I18" s="107"/>
      <c r="J18" s="105"/>
      <c r="K18" s="105"/>
    </row>
    <row r="19" spans="1:11">
      <c r="C19" s="106"/>
      <c r="D19" s="105"/>
      <c r="E19" s="107"/>
      <c r="F19" s="105"/>
      <c r="G19" s="105"/>
      <c r="H19" s="107"/>
      <c r="I19" s="107"/>
      <c r="J19" s="105"/>
      <c r="K19" s="105"/>
    </row>
    <row r="20" spans="1:11">
      <c r="C20" s="106"/>
      <c r="D20" s="105"/>
      <c r="E20" s="107"/>
      <c r="F20" s="105"/>
      <c r="G20" s="105"/>
      <c r="H20" s="105"/>
      <c r="I20" s="105"/>
      <c r="J20" s="105"/>
      <c r="K20" s="105"/>
    </row>
    <row r="21" spans="1:11">
      <c r="C21" s="106"/>
      <c r="D21" s="107"/>
      <c r="E21" s="107"/>
      <c r="F21" s="107"/>
      <c r="G21" s="107"/>
      <c r="H21" s="107"/>
      <c r="I21" s="107"/>
      <c r="J21" s="107"/>
      <c r="K21" s="107"/>
    </row>
    <row r="22" spans="1:11" ht="35.25" customHeight="1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</row>
  </sheetData>
  <mergeCells count="3">
    <mergeCell ref="A1:K1"/>
    <mergeCell ref="A2:K2"/>
    <mergeCell ref="A3:K3"/>
  </mergeCells>
  <pageMargins left="0.70866141732283472" right="0.70866141732283472" top="0.74803149606299213" bottom="0.74803149606299213" header="0.31496062992125984" footer="0.31496062992125984"/>
  <pageSetup paperSize="9" scale="89" fitToHeight="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Q29"/>
  <sheetViews>
    <sheetView view="pageBreakPreview" topLeftCell="A4" zoomScaleNormal="100" zoomScaleSheetLayoutView="100" workbookViewId="0">
      <selection activeCell="T18" sqref="T18"/>
    </sheetView>
  </sheetViews>
  <sheetFormatPr defaultColWidth="9.140625" defaultRowHeight="15"/>
  <cols>
    <col min="1" max="1" width="9.140625" style="25"/>
    <col min="2" max="2" width="24.85546875" style="25" customWidth="1"/>
    <col min="3" max="3" width="9.140625" style="25"/>
    <col min="4" max="4" width="9.42578125" style="25" customWidth="1"/>
    <col min="5" max="5" width="11" style="25" customWidth="1"/>
    <col min="6" max="6" width="9.140625" style="25"/>
    <col min="7" max="7" width="9.85546875" style="25" customWidth="1"/>
    <col min="8" max="8" width="11.42578125" style="25" customWidth="1"/>
    <col min="9" max="9" width="9.140625" style="25"/>
    <col min="10" max="10" width="10.28515625" style="25" customWidth="1"/>
    <col min="11" max="11" width="11.42578125" style="25" customWidth="1"/>
    <col min="12" max="12" width="9.140625" style="25"/>
    <col min="13" max="13" width="10.140625" style="25" customWidth="1"/>
    <col min="14" max="14" width="11.28515625" style="25" customWidth="1"/>
    <col min="15" max="15" width="9.140625" style="25"/>
    <col min="16" max="16" width="10" style="25" customWidth="1"/>
    <col min="17" max="17" width="11" style="25" customWidth="1"/>
    <col min="18" max="16384" width="9.140625" style="25"/>
  </cols>
  <sheetData>
    <row r="1" spans="1:17" ht="15.75">
      <c r="A1" s="328" t="s">
        <v>657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</row>
    <row r="2" spans="1:17">
      <c r="A2" s="26"/>
    </row>
    <row r="3" spans="1:17" ht="52.5" customHeight="1">
      <c r="A3" s="327" t="s">
        <v>656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</row>
    <row r="5" spans="1:17" ht="32.25" customHeight="1">
      <c r="A5" s="329" t="s">
        <v>0</v>
      </c>
      <c r="B5" s="329" t="s">
        <v>634</v>
      </c>
      <c r="C5" s="329" t="s">
        <v>38</v>
      </c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</row>
    <row r="6" spans="1:17" ht="45" customHeight="1">
      <c r="A6" s="329"/>
      <c r="B6" s="329"/>
      <c r="C6" s="329" t="s">
        <v>39</v>
      </c>
      <c r="D6" s="329"/>
      <c r="E6" s="329"/>
      <c r="F6" s="329" t="s">
        <v>40</v>
      </c>
      <c r="G6" s="329"/>
      <c r="H6" s="329"/>
      <c r="I6" s="329" t="s">
        <v>41</v>
      </c>
      <c r="J6" s="329"/>
      <c r="K6" s="329"/>
      <c r="L6" s="329" t="s">
        <v>42</v>
      </c>
      <c r="M6" s="329"/>
      <c r="N6" s="329"/>
      <c r="O6" s="329" t="s">
        <v>43</v>
      </c>
      <c r="P6" s="329"/>
      <c r="Q6" s="329"/>
    </row>
    <row r="7" spans="1:17" ht="60">
      <c r="A7" s="27"/>
      <c r="B7" s="27"/>
      <c r="C7" s="267">
        <v>2018</v>
      </c>
      <c r="D7" s="267">
        <v>2019</v>
      </c>
      <c r="E7" s="267" t="s">
        <v>25</v>
      </c>
      <c r="F7" s="267">
        <v>2018</v>
      </c>
      <c r="G7" s="267">
        <v>2019</v>
      </c>
      <c r="H7" s="267" t="s">
        <v>25</v>
      </c>
      <c r="I7" s="267">
        <v>2018</v>
      </c>
      <c r="J7" s="267">
        <v>2019</v>
      </c>
      <c r="K7" s="267" t="s">
        <v>25</v>
      </c>
      <c r="L7" s="267">
        <v>2018</v>
      </c>
      <c r="M7" s="267">
        <v>2019</v>
      </c>
      <c r="N7" s="267" t="s">
        <v>25</v>
      </c>
      <c r="O7" s="267">
        <v>2018</v>
      </c>
      <c r="P7" s="267">
        <v>2019</v>
      </c>
      <c r="Q7" s="267" t="s">
        <v>25</v>
      </c>
    </row>
    <row r="8" spans="1:17">
      <c r="A8" s="269">
        <v>1</v>
      </c>
      <c r="B8" s="269">
        <v>2</v>
      </c>
      <c r="C8" s="269">
        <v>3</v>
      </c>
      <c r="D8" s="269">
        <v>4</v>
      </c>
      <c r="E8" s="269">
        <v>5</v>
      </c>
      <c r="F8" s="269">
        <v>6</v>
      </c>
      <c r="G8" s="269">
        <v>7</v>
      </c>
      <c r="H8" s="269">
        <v>8</v>
      </c>
      <c r="I8" s="269">
        <v>9</v>
      </c>
      <c r="J8" s="269">
        <v>10</v>
      </c>
      <c r="K8" s="269">
        <v>11</v>
      </c>
      <c r="L8" s="269">
        <v>12</v>
      </c>
      <c r="M8" s="269">
        <v>13</v>
      </c>
      <c r="N8" s="269">
        <v>14</v>
      </c>
      <c r="O8" s="269">
        <v>15</v>
      </c>
      <c r="P8" s="269">
        <v>16</v>
      </c>
      <c r="Q8" s="269">
        <v>17</v>
      </c>
    </row>
    <row r="9" spans="1:17" ht="45">
      <c r="A9" s="39">
        <v>1</v>
      </c>
      <c r="B9" s="40" t="s">
        <v>164</v>
      </c>
      <c r="C9" s="53">
        <f>C10+C12+C13+C14+C15</f>
        <v>829</v>
      </c>
      <c r="D9" s="53">
        <f>D10+D12+D13+D14+D15</f>
        <v>902</v>
      </c>
      <c r="E9" s="285">
        <f>(C9-D9)/D9*100</f>
        <v>-8.0931263858093132</v>
      </c>
      <c r="F9" s="53">
        <f>F10+F11+F12+F13+F14+F15</f>
        <v>102</v>
      </c>
      <c r="G9" s="53">
        <f>G10+G11+G12+G13+G14+G15</f>
        <v>240</v>
      </c>
      <c r="H9" s="53">
        <f>(F9-G9)/G9*100</f>
        <v>-57.499999999999993</v>
      </c>
      <c r="I9" s="53">
        <f>I10+I11+I12+I13+I14+I15</f>
        <v>26</v>
      </c>
      <c r="J9" s="53">
        <f>J10+J11+J12+J13+J14+J15</f>
        <v>120</v>
      </c>
      <c r="K9" s="285">
        <f>(I9-J9)/J9*100</f>
        <v>-78.333333333333329</v>
      </c>
      <c r="L9" s="53">
        <f>L10+L11+L12+L13+L14+L15</f>
        <v>12</v>
      </c>
      <c r="M9" s="53">
        <f>M10+M11+M12+M13+M14+M15</f>
        <v>36</v>
      </c>
      <c r="N9" s="285">
        <f>(L9-M9)/M9*100</f>
        <v>-66.666666666666657</v>
      </c>
      <c r="O9" s="53">
        <f>O10+O11+O12+O13+O14+O15</f>
        <v>0</v>
      </c>
      <c r="P9" s="53">
        <f>P10+P11+P12+P13+P14+P15</f>
        <v>0</v>
      </c>
      <c r="Q9" s="53">
        <v>0</v>
      </c>
    </row>
    <row r="10" spans="1:17" s="30" customFormat="1" ht="46.5" customHeight="1">
      <c r="A10" s="28" t="s">
        <v>145</v>
      </c>
      <c r="B10" s="29" t="s">
        <v>654</v>
      </c>
      <c r="C10" s="54">
        <v>0</v>
      </c>
      <c r="D10" s="54">
        <v>0</v>
      </c>
      <c r="E10" s="54">
        <f t="shared" ref="E10:Q10" si="0">E17+E27</f>
        <v>0</v>
      </c>
      <c r="F10" s="54">
        <f t="shared" si="0"/>
        <v>0</v>
      </c>
      <c r="G10" s="54">
        <f t="shared" si="0"/>
        <v>0</v>
      </c>
      <c r="H10" s="54">
        <f t="shared" si="0"/>
        <v>0</v>
      </c>
      <c r="I10" s="54">
        <f t="shared" si="0"/>
        <v>0</v>
      </c>
      <c r="J10" s="54">
        <f t="shared" si="0"/>
        <v>0</v>
      </c>
      <c r="K10" s="54">
        <f t="shared" si="0"/>
        <v>0</v>
      </c>
      <c r="L10" s="54">
        <f t="shared" si="0"/>
        <v>0</v>
      </c>
      <c r="M10" s="54">
        <f t="shared" si="0"/>
        <v>0</v>
      </c>
      <c r="N10" s="54">
        <f t="shared" si="0"/>
        <v>0</v>
      </c>
      <c r="O10" s="54">
        <f t="shared" si="0"/>
        <v>0</v>
      </c>
      <c r="P10" s="54">
        <f t="shared" si="0"/>
        <v>0</v>
      </c>
      <c r="Q10" s="54">
        <f t="shared" si="0"/>
        <v>0</v>
      </c>
    </row>
    <row r="11" spans="1:17" ht="46.5" customHeight="1">
      <c r="A11" s="31" t="s">
        <v>146</v>
      </c>
      <c r="B11" s="32" t="s">
        <v>44</v>
      </c>
      <c r="C11" s="54">
        <v>703</v>
      </c>
      <c r="D11" s="54">
        <v>663</v>
      </c>
      <c r="E11" s="284">
        <f>(C11-D11)/D11*100</f>
        <v>6.0331825037707389</v>
      </c>
      <c r="F11" s="54">
        <v>0</v>
      </c>
      <c r="G11" s="54">
        <v>0</v>
      </c>
      <c r="H11" s="54">
        <f t="shared" ref="H11:Q11" si="1">H18+H28</f>
        <v>0</v>
      </c>
      <c r="I11" s="54">
        <f t="shared" si="1"/>
        <v>0</v>
      </c>
      <c r="J11" s="54">
        <f t="shared" si="1"/>
        <v>0</v>
      </c>
      <c r="K11" s="54">
        <f t="shared" si="1"/>
        <v>0</v>
      </c>
      <c r="L11" s="54">
        <f t="shared" si="1"/>
        <v>0</v>
      </c>
      <c r="M11" s="54">
        <f t="shared" si="1"/>
        <v>0</v>
      </c>
      <c r="N11" s="54">
        <f t="shared" si="1"/>
        <v>0</v>
      </c>
      <c r="O11" s="54">
        <f t="shared" si="1"/>
        <v>0</v>
      </c>
      <c r="P11" s="54">
        <f t="shared" si="1"/>
        <v>0</v>
      </c>
      <c r="Q11" s="54">
        <f t="shared" si="1"/>
        <v>0</v>
      </c>
    </row>
    <row r="12" spans="1:17" s="30" customFormat="1" ht="32.25" customHeight="1">
      <c r="A12" s="28" t="s">
        <v>147</v>
      </c>
      <c r="B12" s="29" t="s">
        <v>45</v>
      </c>
      <c r="C12" s="54">
        <v>703</v>
      </c>
      <c r="D12" s="54">
        <v>663</v>
      </c>
      <c r="E12" s="284">
        <f>(C12-D12)/D12*100</f>
        <v>6.0331825037707389</v>
      </c>
      <c r="F12" s="54">
        <f t="shared" ref="F12:Q12" si="2">F21+F28</f>
        <v>0</v>
      </c>
      <c r="G12" s="54">
        <f t="shared" si="2"/>
        <v>0</v>
      </c>
      <c r="H12" s="54">
        <f t="shared" si="2"/>
        <v>0</v>
      </c>
      <c r="I12" s="54">
        <f t="shared" si="2"/>
        <v>0</v>
      </c>
      <c r="J12" s="54">
        <f t="shared" si="2"/>
        <v>0</v>
      </c>
      <c r="K12" s="54">
        <f t="shared" si="2"/>
        <v>0</v>
      </c>
      <c r="L12" s="54">
        <f t="shared" si="2"/>
        <v>0</v>
      </c>
      <c r="M12" s="54">
        <f t="shared" si="2"/>
        <v>0</v>
      </c>
      <c r="N12" s="54">
        <f t="shared" si="2"/>
        <v>0</v>
      </c>
      <c r="O12" s="54">
        <f t="shared" si="2"/>
        <v>0</v>
      </c>
      <c r="P12" s="54">
        <f t="shared" si="2"/>
        <v>0</v>
      </c>
      <c r="Q12" s="54">
        <f t="shared" si="2"/>
        <v>0</v>
      </c>
    </row>
    <row r="13" spans="1:17" s="30" customFormat="1" ht="22.5" customHeight="1">
      <c r="A13" s="28" t="s">
        <v>81</v>
      </c>
      <c r="B13" s="29" t="s">
        <v>46</v>
      </c>
      <c r="C13" s="54">
        <f>C22+C29</f>
        <v>0</v>
      </c>
      <c r="D13" s="54">
        <f>D22+D29</f>
        <v>0</v>
      </c>
      <c r="E13" s="54">
        <f>E22+E29</f>
        <v>0</v>
      </c>
      <c r="F13" s="54">
        <f t="shared" ref="F13:Q13" si="3">F22+F29</f>
        <v>0</v>
      </c>
      <c r="G13" s="54">
        <f t="shared" si="3"/>
        <v>0</v>
      </c>
      <c r="H13" s="54">
        <f t="shared" si="3"/>
        <v>0</v>
      </c>
      <c r="I13" s="54">
        <f t="shared" si="3"/>
        <v>0</v>
      </c>
      <c r="J13" s="54">
        <f t="shared" si="3"/>
        <v>0</v>
      </c>
      <c r="K13" s="54">
        <f t="shared" si="3"/>
        <v>0</v>
      </c>
      <c r="L13" s="54">
        <f t="shared" si="3"/>
        <v>0</v>
      </c>
      <c r="M13" s="54">
        <f t="shared" si="3"/>
        <v>0</v>
      </c>
      <c r="N13" s="54">
        <f t="shared" si="3"/>
        <v>0</v>
      </c>
      <c r="O13" s="54">
        <f t="shared" si="3"/>
        <v>0</v>
      </c>
      <c r="P13" s="54">
        <f t="shared" si="3"/>
        <v>0</v>
      </c>
      <c r="Q13" s="54">
        <f t="shared" si="3"/>
        <v>0</v>
      </c>
    </row>
    <row r="14" spans="1:17" s="30" customFormat="1" ht="57" customHeight="1">
      <c r="A14" s="28" t="s">
        <v>82</v>
      </c>
      <c r="B14" s="29" t="s">
        <v>47</v>
      </c>
      <c r="C14" s="54">
        <v>126</v>
      </c>
      <c r="D14" s="54">
        <v>239</v>
      </c>
      <c r="E14" s="284">
        <f>(C14-D14)/D14*100</f>
        <v>-47.280334728033473</v>
      </c>
      <c r="F14" s="54">
        <v>102</v>
      </c>
      <c r="G14" s="54">
        <v>240</v>
      </c>
      <c r="H14" s="53">
        <f>(F14-G14)/G14*100</f>
        <v>-57.499999999999993</v>
      </c>
      <c r="I14" s="54">
        <v>26</v>
      </c>
      <c r="J14" s="54">
        <v>120</v>
      </c>
      <c r="K14" s="285">
        <f>(I14-J14)/J14*100</f>
        <v>-78.333333333333329</v>
      </c>
      <c r="L14" s="54">
        <v>12</v>
      </c>
      <c r="M14" s="54">
        <v>36</v>
      </c>
      <c r="N14" s="285">
        <f>(L14-M14)/M14*100</f>
        <v>-66.666666666666657</v>
      </c>
      <c r="O14" s="54">
        <f>O23+O30</f>
        <v>0</v>
      </c>
      <c r="P14" s="54">
        <f t="shared" ref="P14:Q14" si="4">P23+P30</f>
        <v>0</v>
      </c>
      <c r="Q14" s="54">
        <f t="shared" si="4"/>
        <v>0</v>
      </c>
    </row>
    <row r="15" spans="1:17" s="30" customFormat="1" ht="21" customHeight="1">
      <c r="A15" s="28" t="s">
        <v>83</v>
      </c>
      <c r="B15" s="29" t="s">
        <v>48</v>
      </c>
      <c r="C15" s="54">
        <f t="shared" ref="C15:Q15" si="5">C24+C29</f>
        <v>0</v>
      </c>
      <c r="D15" s="54">
        <f t="shared" si="5"/>
        <v>0</v>
      </c>
      <c r="E15" s="54">
        <f t="shared" si="5"/>
        <v>0</v>
      </c>
      <c r="F15" s="54">
        <f t="shared" si="5"/>
        <v>0</v>
      </c>
      <c r="G15" s="54">
        <f t="shared" si="5"/>
        <v>0</v>
      </c>
      <c r="H15" s="54">
        <f t="shared" si="5"/>
        <v>0</v>
      </c>
      <c r="I15" s="54">
        <f t="shared" si="5"/>
        <v>0</v>
      </c>
      <c r="J15" s="54">
        <f t="shared" si="5"/>
        <v>0</v>
      </c>
      <c r="K15" s="54">
        <f t="shared" si="5"/>
        <v>0</v>
      </c>
      <c r="L15" s="54">
        <f t="shared" si="5"/>
        <v>0</v>
      </c>
      <c r="M15" s="54">
        <f t="shared" si="5"/>
        <v>0</v>
      </c>
      <c r="N15" s="54">
        <f t="shared" si="5"/>
        <v>0</v>
      </c>
      <c r="O15" s="54">
        <f t="shared" si="5"/>
        <v>0</v>
      </c>
      <c r="P15" s="54">
        <f t="shared" si="5"/>
        <v>0</v>
      </c>
      <c r="Q15" s="54">
        <f t="shared" si="5"/>
        <v>0</v>
      </c>
    </row>
    <row r="16" spans="1:17">
      <c r="A16" s="42" t="s">
        <v>148</v>
      </c>
      <c r="B16" s="43" t="s">
        <v>49</v>
      </c>
      <c r="C16" s="39">
        <v>23</v>
      </c>
      <c r="D16" s="39">
        <f>D17+D18+D19+D20+D21+D22+D23+D24</f>
        <v>15</v>
      </c>
      <c r="E16" s="285">
        <f>(C16-D16)/D16*100</f>
        <v>53.333333333333336</v>
      </c>
      <c r="F16" s="39"/>
      <c r="G16" s="39"/>
      <c r="H16" s="39"/>
      <c r="I16" s="39"/>
      <c r="J16" s="39"/>
      <c r="K16" s="39"/>
      <c r="L16" s="39"/>
      <c r="M16" s="39"/>
      <c r="N16" s="41"/>
      <c r="O16" s="39"/>
      <c r="P16" s="39"/>
      <c r="Q16" s="39"/>
    </row>
    <row r="17" spans="1:17" s="30" customFormat="1" ht="51" customHeight="1">
      <c r="A17" s="28" t="s">
        <v>149</v>
      </c>
      <c r="B17" s="29" t="s">
        <v>50</v>
      </c>
      <c r="C17" s="54">
        <v>0</v>
      </c>
      <c r="D17" s="54">
        <v>0</v>
      </c>
      <c r="E17" s="54">
        <f t="shared" ref="E17:Q17" si="6">E26+E33</f>
        <v>0</v>
      </c>
      <c r="F17" s="54">
        <f t="shared" si="6"/>
        <v>0</v>
      </c>
      <c r="G17" s="54">
        <f t="shared" si="6"/>
        <v>0</v>
      </c>
      <c r="H17" s="54">
        <f t="shared" si="6"/>
        <v>0</v>
      </c>
      <c r="I17" s="54">
        <f t="shared" si="6"/>
        <v>0</v>
      </c>
      <c r="J17" s="54">
        <f t="shared" si="6"/>
        <v>0</v>
      </c>
      <c r="K17" s="54">
        <f t="shared" si="6"/>
        <v>0</v>
      </c>
      <c r="L17" s="54">
        <f t="shared" si="6"/>
        <v>0</v>
      </c>
      <c r="M17" s="54">
        <f t="shared" si="6"/>
        <v>0</v>
      </c>
      <c r="N17" s="54">
        <f t="shared" si="6"/>
        <v>0</v>
      </c>
      <c r="O17" s="54">
        <f t="shared" si="6"/>
        <v>0</v>
      </c>
      <c r="P17" s="54">
        <f t="shared" si="6"/>
        <v>0</v>
      </c>
      <c r="Q17" s="54">
        <f t="shared" si="6"/>
        <v>0</v>
      </c>
    </row>
    <row r="18" spans="1:17" s="30" customFormat="1" ht="50.25" customHeight="1">
      <c r="A18" s="28" t="s">
        <v>150</v>
      </c>
      <c r="B18" s="29" t="s">
        <v>51</v>
      </c>
      <c r="C18" s="54">
        <f>C27+C34</f>
        <v>0</v>
      </c>
      <c r="D18" s="54">
        <f>D27+D34</f>
        <v>0</v>
      </c>
      <c r="E18" s="54">
        <f t="shared" ref="E18:Q18" si="7">E27+E34</f>
        <v>0</v>
      </c>
      <c r="F18" s="54">
        <f t="shared" si="7"/>
        <v>0</v>
      </c>
      <c r="G18" s="54">
        <f t="shared" si="7"/>
        <v>0</v>
      </c>
      <c r="H18" s="54">
        <f t="shared" si="7"/>
        <v>0</v>
      </c>
      <c r="I18" s="54">
        <f t="shared" si="7"/>
        <v>0</v>
      </c>
      <c r="J18" s="54">
        <f t="shared" si="7"/>
        <v>0</v>
      </c>
      <c r="K18" s="54">
        <f t="shared" si="7"/>
        <v>0</v>
      </c>
      <c r="L18" s="54">
        <f t="shared" si="7"/>
        <v>0</v>
      </c>
      <c r="M18" s="54">
        <f t="shared" si="7"/>
        <v>0</v>
      </c>
      <c r="N18" s="54">
        <f t="shared" si="7"/>
        <v>0</v>
      </c>
      <c r="O18" s="54">
        <f t="shared" si="7"/>
        <v>0</v>
      </c>
      <c r="P18" s="54">
        <f t="shared" si="7"/>
        <v>0</v>
      </c>
      <c r="Q18" s="54">
        <f t="shared" si="7"/>
        <v>0</v>
      </c>
    </row>
    <row r="19" spans="1:17" s="30" customFormat="1" ht="31.5" customHeight="1">
      <c r="A19" s="33" t="s">
        <v>151</v>
      </c>
      <c r="B19" s="29" t="s">
        <v>52</v>
      </c>
      <c r="C19" s="54">
        <v>23</v>
      </c>
      <c r="D19" s="54">
        <v>15</v>
      </c>
      <c r="E19" s="286">
        <f>(C19-D19)/D19*100</f>
        <v>53.333333333333336</v>
      </c>
      <c r="F19" s="54">
        <f t="shared" ref="F19:Q19" si="8">F28+F35</f>
        <v>0</v>
      </c>
      <c r="G19" s="54">
        <f t="shared" si="8"/>
        <v>0</v>
      </c>
      <c r="H19" s="54">
        <f t="shared" si="8"/>
        <v>0</v>
      </c>
      <c r="I19" s="54">
        <f t="shared" si="8"/>
        <v>0</v>
      </c>
      <c r="J19" s="54">
        <f t="shared" si="8"/>
        <v>0</v>
      </c>
      <c r="K19" s="54">
        <f t="shared" si="8"/>
        <v>0</v>
      </c>
      <c r="L19" s="54">
        <f t="shared" si="8"/>
        <v>0</v>
      </c>
      <c r="M19" s="54">
        <f t="shared" si="8"/>
        <v>0</v>
      </c>
      <c r="N19" s="54">
        <f t="shared" si="8"/>
        <v>0</v>
      </c>
      <c r="O19" s="54">
        <f t="shared" si="8"/>
        <v>0</v>
      </c>
      <c r="P19" s="54">
        <f t="shared" si="8"/>
        <v>0</v>
      </c>
      <c r="Q19" s="54">
        <f t="shared" si="8"/>
        <v>0</v>
      </c>
    </row>
    <row r="20" spans="1:17" s="30" customFormat="1" ht="46.5" customHeight="1">
      <c r="A20" s="28" t="s">
        <v>84</v>
      </c>
      <c r="B20" s="29" t="s">
        <v>44</v>
      </c>
      <c r="C20" s="54">
        <f t="shared" ref="C20:E24" si="9">C29+C36</f>
        <v>0</v>
      </c>
      <c r="D20" s="54">
        <f t="shared" si="9"/>
        <v>0</v>
      </c>
      <c r="E20" s="54">
        <f t="shared" si="9"/>
        <v>0</v>
      </c>
      <c r="F20" s="54">
        <f t="shared" ref="F20:Q20" si="10">F29+F36</f>
        <v>0</v>
      </c>
      <c r="G20" s="54">
        <f t="shared" si="10"/>
        <v>0</v>
      </c>
      <c r="H20" s="54">
        <f t="shared" si="10"/>
        <v>0</v>
      </c>
      <c r="I20" s="54">
        <f t="shared" si="10"/>
        <v>0</v>
      </c>
      <c r="J20" s="54">
        <f t="shared" si="10"/>
        <v>0</v>
      </c>
      <c r="K20" s="54">
        <f t="shared" si="10"/>
        <v>0</v>
      </c>
      <c r="L20" s="54">
        <f t="shared" si="10"/>
        <v>0</v>
      </c>
      <c r="M20" s="54">
        <f t="shared" si="10"/>
        <v>0</v>
      </c>
      <c r="N20" s="54">
        <f t="shared" si="10"/>
        <v>0</v>
      </c>
      <c r="O20" s="54">
        <f t="shared" si="10"/>
        <v>0</v>
      </c>
      <c r="P20" s="54">
        <f t="shared" si="10"/>
        <v>0</v>
      </c>
      <c r="Q20" s="54">
        <f t="shared" si="10"/>
        <v>0</v>
      </c>
    </row>
    <row r="21" spans="1:17" s="30" customFormat="1" ht="31.5" customHeight="1">
      <c r="A21" s="28" t="s">
        <v>85</v>
      </c>
      <c r="B21" s="34" t="s">
        <v>45</v>
      </c>
      <c r="C21" s="54">
        <f t="shared" si="9"/>
        <v>0</v>
      </c>
      <c r="D21" s="54">
        <f t="shared" si="9"/>
        <v>0</v>
      </c>
      <c r="E21" s="54">
        <f t="shared" si="9"/>
        <v>0</v>
      </c>
      <c r="F21" s="54">
        <f t="shared" ref="F21:Q21" si="11">F30+F37</f>
        <v>0</v>
      </c>
      <c r="G21" s="54">
        <f t="shared" si="11"/>
        <v>0</v>
      </c>
      <c r="H21" s="54">
        <f t="shared" si="11"/>
        <v>0</v>
      </c>
      <c r="I21" s="54">
        <f t="shared" si="11"/>
        <v>0</v>
      </c>
      <c r="J21" s="54">
        <f t="shared" si="11"/>
        <v>0</v>
      </c>
      <c r="K21" s="54">
        <f t="shared" si="11"/>
        <v>0</v>
      </c>
      <c r="L21" s="54">
        <f t="shared" si="11"/>
        <v>0</v>
      </c>
      <c r="M21" s="54">
        <f t="shared" si="11"/>
        <v>0</v>
      </c>
      <c r="N21" s="54">
        <f t="shared" si="11"/>
        <v>0</v>
      </c>
      <c r="O21" s="54">
        <f t="shared" si="11"/>
        <v>0</v>
      </c>
      <c r="P21" s="54">
        <f t="shared" si="11"/>
        <v>0</v>
      </c>
      <c r="Q21" s="54">
        <f t="shared" si="11"/>
        <v>0</v>
      </c>
    </row>
    <row r="22" spans="1:17" s="30" customFormat="1" ht="18.75" customHeight="1">
      <c r="A22" s="28" t="s">
        <v>86</v>
      </c>
      <c r="B22" s="29" t="s">
        <v>46</v>
      </c>
      <c r="C22" s="54">
        <f t="shared" si="9"/>
        <v>0</v>
      </c>
      <c r="D22" s="54">
        <f t="shared" si="9"/>
        <v>0</v>
      </c>
      <c r="E22" s="54">
        <f t="shared" si="9"/>
        <v>0</v>
      </c>
      <c r="F22" s="54">
        <f t="shared" ref="F22:Q22" si="12">F31+F38</f>
        <v>0</v>
      </c>
      <c r="G22" s="54">
        <f t="shared" si="12"/>
        <v>0</v>
      </c>
      <c r="H22" s="54">
        <f t="shared" si="12"/>
        <v>0</v>
      </c>
      <c r="I22" s="54">
        <f t="shared" si="12"/>
        <v>0</v>
      </c>
      <c r="J22" s="54">
        <f t="shared" si="12"/>
        <v>0</v>
      </c>
      <c r="K22" s="54">
        <f t="shared" si="12"/>
        <v>0</v>
      </c>
      <c r="L22" s="54">
        <f t="shared" si="12"/>
        <v>0</v>
      </c>
      <c r="M22" s="54">
        <f t="shared" si="12"/>
        <v>0</v>
      </c>
      <c r="N22" s="54">
        <f t="shared" si="12"/>
        <v>0</v>
      </c>
      <c r="O22" s="54">
        <f t="shared" si="12"/>
        <v>0</v>
      </c>
      <c r="P22" s="54">
        <f t="shared" si="12"/>
        <v>0</v>
      </c>
      <c r="Q22" s="54">
        <f t="shared" si="12"/>
        <v>0</v>
      </c>
    </row>
    <row r="23" spans="1:17" s="30" customFormat="1" ht="46.5" customHeight="1">
      <c r="A23" s="28" t="s">
        <v>87</v>
      </c>
      <c r="B23" s="29" t="s">
        <v>53</v>
      </c>
      <c r="C23" s="54">
        <f t="shared" si="9"/>
        <v>0</v>
      </c>
      <c r="D23" s="54">
        <f t="shared" si="9"/>
        <v>0</v>
      </c>
      <c r="E23" s="54">
        <f t="shared" si="9"/>
        <v>0</v>
      </c>
      <c r="F23" s="54">
        <f t="shared" ref="F23:Q23" si="13">F32+F39</f>
        <v>0</v>
      </c>
      <c r="G23" s="54">
        <f t="shared" si="13"/>
        <v>0</v>
      </c>
      <c r="H23" s="54">
        <f t="shared" si="13"/>
        <v>0</v>
      </c>
      <c r="I23" s="54">
        <f t="shared" si="13"/>
        <v>0</v>
      </c>
      <c r="J23" s="54">
        <f t="shared" si="13"/>
        <v>0</v>
      </c>
      <c r="K23" s="54">
        <f t="shared" si="13"/>
        <v>0</v>
      </c>
      <c r="L23" s="54">
        <f t="shared" si="13"/>
        <v>0</v>
      </c>
      <c r="M23" s="54">
        <f t="shared" si="13"/>
        <v>0</v>
      </c>
      <c r="N23" s="54">
        <f t="shared" si="13"/>
        <v>0</v>
      </c>
      <c r="O23" s="54">
        <f t="shared" si="13"/>
        <v>0</v>
      </c>
      <c r="P23" s="54">
        <f t="shared" si="13"/>
        <v>0</v>
      </c>
      <c r="Q23" s="54">
        <f t="shared" si="13"/>
        <v>0</v>
      </c>
    </row>
    <row r="24" spans="1:17" s="30" customFormat="1" ht="18.75" customHeight="1">
      <c r="A24" s="28" t="s">
        <v>88</v>
      </c>
      <c r="B24" s="29" t="s">
        <v>48</v>
      </c>
      <c r="C24" s="54">
        <f t="shared" si="9"/>
        <v>0</v>
      </c>
      <c r="D24" s="54">
        <f t="shared" si="9"/>
        <v>0</v>
      </c>
      <c r="E24" s="54">
        <f t="shared" si="9"/>
        <v>0</v>
      </c>
      <c r="F24" s="54">
        <f t="shared" ref="F24:Q24" si="14">F33+F40</f>
        <v>0</v>
      </c>
      <c r="G24" s="54">
        <f t="shared" si="14"/>
        <v>0</v>
      </c>
      <c r="H24" s="54">
        <f t="shared" si="14"/>
        <v>0</v>
      </c>
      <c r="I24" s="54">
        <f t="shared" si="14"/>
        <v>0</v>
      </c>
      <c r="J24" s="54">
        <f t="shared" si="14"/>
        <v>0</v>
      </c>
      <c r="K24" s="54">
        <f t="shared" si="14"/>
        <v>0</v>
      </c>
      <c r="L24" s="54">
        <f t="shared" si="14"/>
        <v>0</v>
      </c>
      <c r="M24" s="54">
        <f t="shared" si="14"/>
        <v>0</v>
      </c>
      <c r="N24" s="54">
        <f t="shared" si="14"/>
        <v>0</v>
      </c>
      <c r="O24" s="54">
        <f t="shared" si="14"/>
        <v>0</v>
      </c>
      <c r="P24" s="54">
        <f t="shared" si="14"/>
        <v>0</v>
      </c>
      <c r="Q24" s="54">
        <f t="shared" si="14"/>
        <v>0</v>
      </c>
    </row>
    <row r="25" spans="1:17" ht="18.75" customHeight="1">
      <c r="A25" s="39">
        <v>3</v>
      </c>
      <c r="B25" s="40" t="s">
        <v>54</v>
      </c>
      <c r="C25" s="53">
        <v>703</v>
      </c>
      <c r="D25" s="53">
        <v>663</v>
      </c>
      <c r="E25" s="285">
        <f t="shared" ref="E25:Q25" si="15">E26+E27+E28+E29</f>
        <v>6.0331825037707389</v>
      </c>
      <c r="F25" s="53">
        <f t="shared" si="15"/>
        <v>0</v>
      </c>
      <c r="G25" s="53">
        <f t="shared" si="15"/>
        <v>0</v>
      </c>
      <c r="H25" s="53">
        <f t="shared" si="15"/>
        <v>0</v>
      </c>
      <c r="I25" s="53">
        <f t="shared" si="15"/>
        <v>0</v>
      </c>
      <c r="J25" s="53">
        <f t="shared" si="15"/>
        <v>0</v>
      </c>
      <c r="K25" s="53">
        <f t="shared" si="15"/>
        <v>0</v>
      </c>
      <c r="L25" s="53">
        <f t="shared" si="15"/>
        <v>0</v>
      </c>
      <c r="M25" s="53">
        <f t="shared" si="15"/>
        <v>0</v>
      </c>
      <c r="N25" s="53">
        <f t="shared" si="15"/>
        <v>0</v>
      </c>
      <c r="O25" s="53">
        <f t="shared" si="15"/>
        <v>0</v>
      </c>
      <c r="P25" s="53">
        <f t="shared" si="15"/>
        <v>0</v>
      </c>
      <c r="Q25" s="53">
        <f t="shared" si="15"/>
        <v>0</v>
      </c>
    </row>
    <row r="26" spans="1:17" ht="35.25" customHeight="1">
      <c r="A26" s="31" t="s">
        <v>89</v>
      </c>
      <c r="B26" s="32" t="s">
        <v>17</v>
      </c>
      <c r="C26" s="54">
        <v>703</v>
      </c>
      <c r="D26" s="54">
        <v>663</v>
      </c>
      <c r="E26" s="54">
        <f t="shared" ref="E26:Q26" si="16">E33+E43</f>
        <v>0</v>
      </c>
      <c r="F26" s="54">
        <f t="shared" si="16"/>
        <v>0</v>
      </c>
      <c r="G26" s="54">
        <f t="shared" si="16"/>
        <v>0</v>
      </c>
      <c r="H26" s="54">
        <f t="shared" si="16"/>
        <v>0</v>
      </c>
      <c r="I26" s="54">
        <f t="shared" si="16"/>
        <v>0</v>
      </c>
      <c r="J26" s="54">
        <f t="shared" si="16"/>
        <v>0</v>
      </c>
      <c r="K26" s="54">
        <f t="shared" si="16"/>
        <v>0</v>
      </c>
      <c r="L26" s="54">
        <f t="shared" si="16"/>
        <v>0</v>
      </c>
      <c r="M26" s="54">
        <f t="shared" si="16"/>
        <v>0</v>
      </c>
      <c r="N26" s="54">
        <f t="shared" si="16"/>
        <v>0</v>
      </c>
      <c r="O26" s="54">
        <f t="shared" si="16"/>
        <v>0</v>
      </c>
      <c r="P26" s="54">
        <f t="shared" si="16"/>
        <v>0</v>
      </c>
      <c r="Q26" s="54">
        <f t="shared" si="16"/>
        <v>0</v>
      </c>
    </row>
    <row r="27" spans="1:17" s="30" customFormat="1" ht="62.25" customHeight="1">
      <c r="A27" s="28" t="s">
        <v>90</v>
      </c>
      <c r="B27" s="29" t="s">
        <v>55</v>
      </c>
      <c r="C27" s="54">
        <f>C34+C44</f>
        <v>0</v>
      </c>
      <c r="D27" s="54">
        <f>D34+D44</f>
        <v>0</v>
      </c>
      <c r="E27" s="54">
        <f t="shared" ref="E27:Q27" si="17">E34+E44</f>
        <v>0</v>
      </c>
      <c r="F27" s="54">
        <f t="shared" si="17"/>
        <v>0</v>
      </c>
      <c r="G27" s="54">
        <f t="shared" si="17"/>
        <v>0</v>
      </c>
      <c r="H27" s="54">
        <f t="shared" si="17"/>
        <v>0</v>
      </c>
      <c r="I27" s="54">
        <f t="shared" si="17"/>
        <v>0</v>
      </c>
      <c r="J27" s="54">
        <f t="shared" si="17"/>
        <v>0</v>
      </c>
      <c r="K27" s="54">
        <f t="shared" si="17"/>
        <v>0</v>
      </c>
      <c r="L27" s="54">
        <f t="shared" si="17"/>
        <v>0</v>
      </c>
      <c r="M27" s="54">
        <f t="shared" si="17"/>
        <v>0</v>
      </c>
      <c r="N27" s="54">
        <f t="shared" si="17"/>
        <v>0</v>
      </c>
      <c r="O27" s="54">
        <f t="shared" si="17"/>
        <v>0</v>
      </c>
      <c r="P27" s="54">
        <f t="shared" si="17"/>
        <v>0</v>
      </c>
      <c r="Q27" s="54">
        <f t="shared" si="17"/>
        <v>0</v>
      </c>
    </row>
    <row r="28" spans="1:17" s="30" customFormat="1" ht="47.25" customHeight="1">
      <c r="A28" s="28" t="s">
        <v>91</v>
      </c>
      <c r="B28" s="29" t="s">
        <v>56</v>
      </c>
      <c r="C28" s="54">
        <v>703</v>
      </c>
      <c r="D28" s="54">
        <v>663</v>
      </c>
      <c r="E28" s="283">
        <f>(C28-D28)/D28*100</f>
        <v>6.0331825037707389</v>
      </c>
      <c r="F28" s="54">
        <f t="shared" ref="F28:Q28" si="18">F35+F45</f>
        <v>0</v>
      </c>
      <c r="G28" s="54">
        <f t="shared" si="18"/>
        <v>0</v>
      </c>
      <c r="H28" s="54">
        <f t="shared" si="18"/>
        <v>0</v>
      </c>
      <c r="I28" s="54">
        <f t="shared" si="18"/>
        <v>0</v>
      </c>
      <c r="J28" s="54">
        <f t="shared" si="18"/>
        <v>0</v>
      </c>
      <c r="K28" s="54">
        <f t="shared" si="18"/>
        <v>0</v>
      </c>
      <c r="L28" s="54">
        <f t="shared" si="18"/>
        <v>0</v>
      </c>
      <c r="M28" s="54">
        <f t="shared" si="18"/>
        <v>0</v>
      </c>
      <c r="N28" s="54">
        <f t="shared" si="18"/>
        <v>0</v>
      </c>
      <c r="O28" s="54">
        <f t="shared" si="18"/>
        <v>0</v>
      </c>
      <c r="P28" s="54">
        <f t="shared" si="18"/>
        <v>0</v>
      </c>
      <c r="Q28" s="54">
        <f t="shared" si="18"/>
        <v>0</v>
      </c>
    </row>
    <row r="29" spans="1:17" s="30" customFormat="1">
      <c r="A29" s="28" t="s">
        <v>92</v>
      </c>
      <c r="B29" s="29" t="s">
        <v>48</v>
      </c>
      <c r="C29" s="54">
        <f>C36+C46</f>
        <v>0</v>
      </c>
      <c r="D29" s="54">
        <f>D36+D46</f>
        <v>0</v>
      </c>
      <c r="E29" s="54">
        <f>E36+E46</f>
        <v>0</v>
      </c>
      <c r="F29" s="54">
        <f t="shared" ref="F29:Q29" si="19">F36+F46</f>
        <v>0</v>
      </c>
      <c r="G29" s="54">
        <f t="shared" si="19"/>
        <v>0</v>
      </c>
      <c r="H29" s="54">
        <f t="shared" si="19"/>
        <v>0</v>
      </c>
      <c r="I29" s="54">
        <f t="shared" si="19"/>
        <v>0</v>
      </c>
      <c r="J29" s="54">
        <f t="shared" si="19"/>
        <v>0</v>
      </c>
      <c r="K29" s="54">
        <f t="shared" si="19"/>
        <v>0</v>
      </c>
      <c r="L29" s="54">
        <f t="shared" si="19"/>
        <v>0</v>
      </c>
      <c r="M29" s="54">
        <f t="shared" si="19"/>
        <v>0</v>
      </c>
      <c r="N29" s="54">
        <f t="shared" si="19"/>
        <v>0</v>
      </c>
      <c r="O29" s="54">
        <f t="shared" si="19"/>
        <v>0</v>
      </c>
      <c r="P29" s="54">
        <f t="shared" si="19"/>
        <v>0</v>
      </c>
      <c r="Q29" s="54">
        <f t="shared" si="19"/>
        <v>0</v>
      </c>
    </row>
  </sheetData>
  <mergeCells count="10">
    <mergeCell ref="A3:Q3"/>
    <mergeCell ref="A1:Q1"/>
    <mergeCell ref="A5:A6"/>
    <mergeCell ref="B5:B6"/>
    <mergeCell ref="C5:Q5"/>
    <mergeCell ref="C6:E6"/>
    <mergeCell ref="F6:H6"/>
    <mergeCell ref="I6:K6"/>
    <mergeCell ref="L6:N6"/>
    <mergeCell ref="O6:Q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E19 E9:E10 E15 E13 H9 K9:N9" formula="1"/>
  </ignoredError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K22"/>
  <sheetViews>
    <sheetView view="pageBreakPreview" topLeftCell="A4" zoomScaleNormal="100" zoomScaleSheetLayoutView="100" workbookViewId="0">
      <selection activeCell="K11" sqref="K11"/>
    </sheetView>
  </sheetViews>
  <sheetFormatPr defaultColWidth="9.140625" defaultRowHeight="15"/>
  <cols>
    <col min="1" max="1" width="9.140625" style="2"/>
    <col min="2" max="2" width="27.42578125" style="2" customWidth="1"/>
    <col min="3" max="3" width="13.7109375" style="2" customWidth="1"/>
    <col min="4" max="4" width="36.28515625" style="2" customWidth="1"/>
    <col min="5" max="5" width="39.7109375" style="2" customWidth="1"/>
    <col min="6" max="6" width="11.5703125" style="2" customWidth="1"/>
    <col min="7" max="7" width="36.85546875" style="2" customWidth="1"/>
    <col min="8" max="8" width="14.140625" style="2" customWidth="1"/>
    <col min="9" max="9" width="17" style="2" customWidth="1"/>
    <col min="10" max="10" width="15.5703125" style="2" customWidth="1"/>
    <col min="11" max="11" width="18.5703125" style="2" customWidth="1"/>
    <col min="12" max="16384" width="9.140625" style="2"/>
  </cols>
  <sheetData>
    <row r="2" spans="1:11" s="49" customFormat="1" ht="15.75">
      <c r="A2" s="308" t="s">
        <v>170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</row>
    <row r="3" spans="1:11">
      <c r="A3" s="14"/>
    </row>
    <row r="4" spans="1:11" ht="120">
      <c r="A4" s="270" t="s">
        <v>0</v>
      </c>
      <c r="B4" s="270" t="s">
        <v>57</v>
      </c>
      <c r="C4" s="270" t="s">
        <v>58</v>
      </c>
      <c r="D4" s="270" t="s">
        <v>59</v>
      </c>
      <c r="E4" s="270" t="s">
        <v>60</v>
      </c>
      <c r="F4" s="270" t="s">
        <v>61</v>
      </c>
      <c r="G4" s="270" t="s">
        <v>62</v>
      </c>
      <c r="H4" s="270" t="s">
        <v>63</v>
      </c>
      <c r="I4" s="270" t="s">
        <v>64</v>
      </c>
      <c r="J4" s="270" t="s">
        <v>65</v>
      </c>
      <c r="K4" s="270" t="s">
        <v>66</v>
      </c>
    </row>
    <row r="5" spans="1:11">
      <c r="A5" s="70">
        <v>1</v>
      </c>
      <c r="B5" s="70">
        <v>2</v>
      </c>
      <c r="C5" s="70">
        <v>3</v>
      </c>
      <c r="D5" s="70">
        <v>4</v>
      </c>
      <c r="E5" s="70">
        <v>5</v>
      </c>
      <c r="F5" s="70">
        <v>6</v>
      </c>
      <c r="G5" s="70">
        <v>7</v>
      </c>
      <c r="H5" s="70">
        <v>8</v>
      </c>
      <c r="I5" s="70">
        <v>9</v>
      </c>
      <c r="J5" s="70">
        <v>10</v>
      </c>
      <c r="K5" s="70">
        <v>11</v>
      </c>
    </row>
    <row r="6" spans="1:11" ht="46.5" customHeight="1">
      <c r="A6" s="71">
        <v>1</v>
      </c>
      <c r="B6" s="71" t="s">
        <v>241</v>
      </c>
      <c r="C6" s="71" t="s">
        <v>242</v>
      </c>
      <c r="D6" s="71" t="s">
        <v>243</v>
      </c>
      <c r="E6" s="71" t="s">
        <v>244</v>
      </c>
      <c r="F6" s="59" t="s">
        <v>642</v>
      </c>
      <c r="G6" s="270" t="s">
        <v>246</v>
      </c>
      <c r="H6" s="287">
        <f>24+98</f>
        <v>122</v>
      </c>
      <c r="I6" s="71">
        <v>10</v>
      </c>
      <c r="J6" s="71"/>
      <c r="K6" s="15"/>
    </row>
    <row r="7" spans="1:11" ht="45.75" customHeight="1">
      <c r="A7" s="71">
        <v>2</v>
      </c>
      <c r="B7" s="71" t="s">
        <v>247</v>
      </c>
      <c r="C7" s="71" t="s">
        <v>242</v>
      </c>
      <c r="D7" s="71" t="s">
        <v>248</v>
      </c>
      <c r="E7" s="71" t="s">
        <v>249</v>
      </c>
      <c r="F7" s="59" t="s">
        <v>245</v>
      </c>
      <c r="G7" s="270" t="s">
        <v>246</v>
      </c>
      <c r="H7" s="287">
        <v>40</v>
      </c>
      <c r="I7" s="71">
        <v>10</v>
      </c>
      <c r="J7" s="8"/>
      <c r="K7" s="8"/>
    </row>
    <row r="8" spans="1:11" ht="45" customHeight="1">
      <c r="A8" s="71">
        <v>3</v>
      </c>
      <c r="B8" s="71" t="s">
        <v>250</v>
      </c>
      <c r="C8" s="71" t="s">
        <v>242</v>
      </c>
      <c r="D8" s="71" t="s">
        <v>251</v>
      </c>
      <c r="E8" s="71" t="s">
        <v>252</v>
      </c>
      <c r="F8" s="59" t="s">
        <v>245</v>
      </c>
      <c r="G8" s="270" t="s">
        <v>246</v>
      </c>
      <c r="H8" s="287">
        <v>22</v>
      </c>
      <c r="I8" s="71">
        <v>10</v>
      </c>
      <c r="J8" s="8"/>
      <c r="K8" s="8"/>
    </row>
    <row r="9" spans="1:11" ht="50.25" customHeight="1">
      <c r="A9" s="71">
        <v>4</v>
      </c>
      <c r="B9" s="71" t="s">
        <v>253</v>
      </c>
      <c r="C9" s="71" t="s">
        <v>242</v>
      </c>
      <c r="D9" s="71" t="s">
        <v>254</v>
      </c>
      <c r="E9" s="71" t="s">
        <v>255</v>
      </c>
      <c r="F9" s="59" t="s">
        <v>245</v>
      </c>
      <c r="G9" s="270" t="s">
        <v>246</v>
      </c>
      <c r="H9" s="287">
        <v>70</v>
      </c>
      <c r="I9" s="71">
        <v>10</v>
      </c>
      <c r="J9" s="8"/>
      <c r="K9" s="8"/>
    </row>
    <row r="10" spans="1:11" ht="45" customHeight="1">
      <c r="A10" s="71">
        <v>5</v>
      </c>
      <c r="B10" s="71" t="s">
        <v>256</v>
      </c>
      <c r="C10" s="71" t="s">
        <v>242</v>
      </c>
      <c r="D10" s="108" t="s">
        <v>278</v>
      </c>
      <c r="E10" s="71" t="s">
        <v>257</v>
      </c>
      <c r="F10" s="59" t="s">
        <v>245</v>
      </c>
      <c r="G10" s="270" t="s">
        <v>246</v>
      </c>
      <c r="H10" s="287">
        <v>101</v>
      </c>
      <c r="I10" s="71">
        <v>10</v>
      </c>
      <c r="J10" s="8"/>
      <c r="K10" s="8"/>
    </row>
    <row r="11" spans="1:11" ht="43.5" customHeight="1">
      <c r="A11" s="99">
        <v>6</v>
      </c>
      <c r="B11" s="99" t="s">
        <v>258</v>
      </c>
      <c r="C11" s="99" t="s">
        <v>242</v>
      </c>
      <c r="D11" s="99" t="s">
        <v>259</v>
      </c>
      <c r="E11" s="99" t="s">
        <v>260</v>
      </c>
      <c r="F11" s="100" t="s">
        <v>245</v>
      </c>
      <c r="G11" s="276" t="s">
        <v>246</v>
      </c>
      <c r="H11" s="290">
        <f>19+2+5</f>
        <v>26</v>
      </c>
      <c r="I11" s="99">
        <v>10</v>
      </c>
      <c r="J11" s="102"/>
      <c r="K11" s="102"/>
    </row>
    <row r="12" spans="1:11" ht="45">
      <c r="A12" s="71">
        <v>7</v>
      </c>
      <c r="B12" s="52" t="s">
        <v>261</v>
      </c>
      <c r="C12" s="71" t="s">
        <v>242</v>
      </c>
      <c r="D12" s="288" t="s">
        <v>660</v>
      </c>
      <c r="E12" s="52" t="s">
        <v>262</v>
      </c>
      <c r="F12" s="59" t="s">
        <v>245</v>
      </c>
      <c r="G12" s="270" t="s">
        <v>246</v>
      </c>
      <c r="H12" s="277">
        <f>41+97+15</f>
        <v>153</v>
      </c>
      <c r="I12" s="71">
        <v>10</v>
      </c>
      <c r="J12" s="58"/>
      <c r="K12" s="58"/>
    </row>
    <row r="13" spans="1:11" ht="45">
      <c r="A13" s="71">
        <v>8</v>
      </c>
      <c r="B13" s="52" t="s">
        <v>263</v>
      </c>
      <c r="C13" s="71" t="s">
        <v>242</v>
      </c>
      <c r="D13" s="71" t="s">
        <v>264</v>
      </c>
      <c r="E13" s="52" t="s">
        <v>265</v>
      </c>
      <c r="F13" s="59" t="s">
        <v>245</v>
      </c>
      <c r="G13" s="270" t="s">
        <v>246</v>
      </c>
      <c r="H13" s="277">
        <v>3</v>
      </c>
      <c r="I13" s="71">
        <v>10</v>
      </c>
      <c r="J13" s="58"/>
      <c r="K13" s="58"/>
    </row>
    <row r="14" spans="1:11" ht="45">
      <c r="A14" s="99">
        <v>9</v>
      </c>
      <c r="B14" s="52" t="s">
        <v>266</v>
      </c>
      <c r="C14" s="71" t="s">
        <v>242</v>
      </c>
      <c r="D14" s="288" t="s">
        <v>659</v>
      </c>
      <c r="E14" s="52" t="s">
        <v>267</v>
      </c>
      <c r="F14" s="59" t="s">
        <v>245</v>
      </c>
      <c r="G14" s="270" t="s">
        <v>246</v>
      </c>
      <c r="H14" s="277">
        <v>80</v>
      </c>
      <c r="I14" s="71">
        <v>10</v>
      </c>
      <c r="J14" s="58"/>
      <c r="K14" s="58"/>
    </row>
    <row r="15" spans="1:11" ht="45">
      <c r="A15" s="71">
        <v>10</v>
      </c>
      <c r="B15" s="289" t="s">
        <v>658</v>
      </c>
      <c r="C15" s="71" t="s">
        <v>242</v>
      </c>
      <c r="D15" s="111" t="s">
        <v>290</v>
      </c>
      <c r="E15" s="52" t="s">
        <v>268</v>
      </c>
      <c r="F15" s="59" t="s">
        <v>245</v>
      </c>
      <c r="G15" s="270" t="s">
        <v>246</v>
      </c>
      <c r="H15" s="277">
        <v>34</v>
      </c>
      <c r="I15" s="71">
        <v>10</v>
      </c>
      <c r="J15" s="58"/>
      <c r="K15" s="58"/>
    </row>
    <row r="16" spans="1:11" ht="45">
      <c r="A16" s="99">
        <v>11</v>
      </c>
      <c r="B16" s="52" t="s">
        <v>269</v>
      </c>
      <c r="C16" s="71" t="s">
        <v>242</v>
      </c>
      <c r="D16" s="71" t="s">
        <v>270</v>
      </c>
      <c r="E16" s="52" t="s">
        <v>271</v>
      </c>
      <c r="F16" s="59" t="s">
        <v>245</v>
      </c>
      <c r="G16" s="270" t="s">
        <v>246</v>
      </c>
      <c r="H16" s="277">
        <f>239+240+120+36</f>
        <v>635</v>
      </c>
      <c r="I16" s="71">
        <v>10</v>
      </c>
      <c r="J16" s="58"/>
      <c r="K16" s="58"/>
    </row>
    <row r="17" spans="1:11" ht="45">
      <c r="A17" s="71">
        <v>12</v>
      </c>
      <c r="B17" s="103" t="s">
        <v>272</v>
      </c>
      <c r="C17" s="71" t="s">
        <v>242</v>
      </c>
      <c r="D17" s="71" t="s">
        <v>273</v>
      </c>
      <c r="E17" s="52" t="s">
        <v>274</v>
      </c>
      <c r="F17" s="59" t="s">
        <v>245</v>
      </c>
      <c r="G17" s="270" t="s">
        <v>246</v>
      </c>
      <c r="H17" s="277">
        <v>75</v>
      </c>
      <c r="I17" s="71">
        <v>10</v>
      </c>
      <c r="J17" s="58"/>
      <c r="K17" s="58"/>
    </row>
    <row r="18" spans="1:11">
      <c r="F18" s="21"/>
    </row>
    <row r="19" spans="1:11">
      <c r="F19" s="21"/>
    </row>
    <row r="20" spans="1:11">
      <c r="F20" s="21"/>
    </row>
    <row r="21" spans="1:11">
      <c r="F21" s="21"/>
    </row>
    <row r="22" spans="1:11">
      <c r="F22" s="21"/>
    </row>
  </sheetData>
  <mergeCells count="1">
    <mergeCell ref="A2:K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4" fitToHeight="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1"/>
  <sheetViews>
    <sheetView view="pageBreakPreview" topLeftCell="A7" zoomScaleNormal="100" zoomScaleSheetLayoutView="100" workbookViewId="0">
      <selection activeCell="I11" sqref="I11"/>
    </sheetView>
  </sheetViews>
  <sheetFormatPr defaultColWidth="9.140625" defaultRowHeight="15"/>
  <cols>
    <col min="1" max="1" width="4.140625" style="2" bestFit="1" customWidth="1"/>
    <col min="2" max="4" width="21.28515625" style="2" customWidth="1"/>
    <col min="5" max="5" width="15.28515625" style="2" customWidth="1"/>
    <col min="6" max="16384" width="9.140625" style="2"/>
  </cols>
  <sheetData>
    <row r="1" spans="1:5" ht="35.25" customHeight="1">
      <c r="A1" s="330" t="s">
        <v>171</v>
      </c>
      <c r="B1" s="330"/>
      <c r="C1" s="330"/>
      <c r="D1" s="330"/>
      <c r="E1" s="9"/>
    </row>
    <row r="3" spans="1:5">
      <c r="A3" s="3" t="s">
        <v>0</v>
      </c>
      <c r="B3" s="3" t="s">
        <v>67</v>
      </c>
      <c r="C3" s="3" t="s">
        <v>68</v>
      </c>
      <c r="D3" s="8"/>
    </row>
    <row r="4" spans="1:5" ht="75">
      <c r="A4" s="315">
        <v>1</v>
      </c>
      <c r="B4" s="8" t="s">
        <v>69</v>
      </c>
      <c r="C4" s="318"/>
      <c r="D4" s="318" t="s">
        <v>180</v>
      </c>
    </row>
    <row r="5" spans="1:5" ht="45">
      <c r="A5" s="315"/>
      <c r="B5" s="5" t="s">
        <v>70</v>
      </c>
      <c r="C5" s="318"/>
      <c r="D5" s="318"/>
    </row>
    <row r="6" spans="1:5" ht="45">
      <c r="A6" s="315"/>
      <c r="B6" s="5" t="s">
        <v>71</v>
      </c>
      <c r="C6" s="318"/>
      <c r="D6" s="318"/>
    </row>
    <row r="7" spans="1:5" ht="75">
      <c r="A7" s="3">
        <v>2</v>
      </c>
      <c r="B7" s="8" t="s">
        <v>72</v>
      </c>
      <c r="C7" s="111" t="s">
        <v>209</v>
      </c>
      <c r="D7" s="57">
        <v>0</v>
      </c>
    </row>
    <row r="8" spans="1:5" ht="90">
      <c r="A8" s="20" t="s">
        <v>149</v>
      </c>
      <c r="B8" s="8" t="s">
        <v>73</v>
      </c>
      <c r="C8" s="111" t="s">
        <v>209</v>
      </c>
      <c r="D8" s="57">
        <v>0</v>
      </c>
    </row>
    <row r="9" spans="1:5" ht="120">
      <c r="A9" s="20" t="s">
        <v>150</v>
      </c>
      <c r="B9" s="8" t="s">
        <v>74</v>
      </c>
      <c r="C9" s="111" t="s">
        <v>209</v>
      </c>
      <c r="D9" s="57">
        <v>0</v>
      </c>
    </row>
    <row r="10" spans="1:5" ht="105">
      <c r="A10" s="3">
        <v>3</v>
      </c>
      <c r="B10" s="8" t="s">
        <v>75</v>
      </c>
      <c r="C10" s="111" t="s">
        <v>165</v>
      </c>
      <c r="D10" s="57">
        <v>0</v>
      </c>
    </row>
    <row r="11" spans="1:5" ht="105">
      <c r="A11" s="3">
        <v>4</v>
      </c>
      <c r="B11" s="8" t="s">
        <v>76</v>
      </c>
      <c r="C11" s="111" t="s">
        <v>291</v>
      </c>
      <c r="D11" s="57">
        <v>0</v>
      </c>
    </row>
  </sheetData>
  <mergeCells count="4">
    <mergeCell ref="A4:A6"/>
    <mergeCell ref="C4:C6"/>
    <mergeCell ref="D4:D6"/>
    <mergeCell ref="A1:D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fitToHeight="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A2"/>
  <sheetViews>
    <sheetView view="pageLayout" zoomScaleNormal="100" zoomScaleSheetLayoutView="100" workbookViewId="0">
      <selection activeCell="A20" sqref="A20"/>
    </sheetView>
  </sheetViews>
  <sheetFormatPr defaultColWidth="9.140625" defaultRowHeight="15"/>
  <cols>
    <col min="1" max="1" width="169.42578125" style="2" customWidth="1"/>
    <col min="2" max="16384" width="9.140625" style="2"/>
  </cols>
  <sheetData>
    <row r="1" spans="1:1" ht="33" customHeight="1">
      <c r="A1" s="50" t="s">
        <v>172</v>
      </c>
    </row>
    <row r="2" spans="1:1">
      <c r="A2" s="18" t="s">
        <v>44</v>
      </c>
    </row>
  </sheetData>
  <phoneticPr fontId="1" type="noConversion"/>
  <pageMargins left="0.7" right="0.7" top="0.54166666666666663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3"/>
  <sheetViews>
    <sheetView view="pageBreakPreview" zoomScaleNormal="100" zoomScaleSheetLayoutView="100" workbookViewId="0">
      <selection activeCell="A38" sqref="A38"/>
    </sheetView>
  </sheetViews>
  <sheetFormatPr defaultColWidth="9.140625" defaultRowHeight="15"/>
  <cols>
    <col min="1" max="1" width="184.5703125" style="2" customWidth="1"/>
    <col min="2" max="2" width="9.140625" style="2"/>
    <col min="3" max="3" width="20.5703125" style="2" customWidth="1"/>
    <col min="4" max="16384" width="9.140625" style="2"/>
  </cols>
  <sheetData>
    <row r="1" spans="1:1" ht="15.75">
      <c r="A1" s="49" t="s">
        <v>173</v>
      </c>
    </row>
    <row r="2" spans="1:1">
      <c r="A2" s="18" t="s">
        <v>292</v>
      </c>
    </row>
    <row r="3" spans="1:1">
      <c r="A3" s="18" t="s">
        <v>648</v>
      </c>
    </row>
  </sheetData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"/>
  <sheetViews>
    <sheetView view="pageBreakPreview" zoomScaleNormal="100" zoomScaleSheetLayoutView="100" workbookViewId="0">
      <selection activeCell="N25" sqref="N25"/>
    </sheetView>
  </sheetViews>
  <sheetFormatPr defaultColWidth="9.140625" defaultRowHeight="15"/>
  <cols>
    <col min="1" max="16384" width="9.140625" style="2"/>
  </cols>
  <sheetData>
    <row r="1" spans="1:21" ht="187.5" customHeight="1">
      <c r="A1" s="331" t="s">
        <v>174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</row>
    <row r="2" spans="1:21">
      <c r="A2" s="18" t="s">
        <v>230</v>
      </c>
    </row>
  </sheetData>
  <mergeCells count="1">
    <mergeCell ref="A1:U1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Y299"/>
  <sheetViews>
    <sheetView view="pageBreakPreview" topLeftCell="A250" zoomScale="90" zoomScaleNormal="70" zoomScaleSheetLayoutView="90" workbookViewId="0">
      <selection activeCell="V290" sqref="V290"/>
    </sheetView>
  </sheetViews>
  <sheetFormatPr defaultRowHeight="15"/>
  <cols>
    <col min="1" max="1" width="9.140625" style="24"/>
    <col min="2" max="2" width="5.85546875" style="24" hidden="1" customWidth="1"/>
    <col min="3" max="3" width="27" style="24" hidden="1" customWidth="1"/>
    <col min="4" max="4" width="11" style="24" hidden="1" customWidth="1"/>
    <col min="5" max="6" width="15.7109375" style="24" hidden="1" customWidth="1"/>
    <col min="7" max="7" width="8.28515625" style="24" hidden="1" customWidth="1"/>
    <col min="8" max="8" width="13.42578125" style="24" hidden="1" customWidth="1"/>
    <col min="9" max="9" width="8.5703125" style="24" hidden="1" customWidth="1"/>
    <col min="10" max="11" width="13.140625" style="24" hidden="1" customWidth="1"/>
    <col min="12" max="12" width="15.140625" style="24" hidden="1" customWidth="1"/>
    <col min="13" max="15" width="9.140625" style="24"/>
    <col min="16" max="16" width="9.140625" style="24" customWidth="1"/>
    <col min="17" max="17" width="21.140625" style="24" customWidth="1"/>
    <col min="18" max="18" width="11.140625" style="24" customWidth="1"/>
    <col min="19" max="19" width="36.85546875" style="24" customWidth="1"/>
    <col min="20" max="20" width="14.7109375" style="24" customWidth="1"/>
    <col min="21" max="16384" width="9.140625" style="24"/>
  </cols>
  <sheetData>
    <row r="1" spans="1:25" ht="72.75" customHeight="1">
      <c r="A1" s="336" t="s">
        <v>175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</row>
    <row r="2" spans="1:25" s="124" customFormat="1" ht="47.25" customHeight="1">
      <c r="A2" s="337" t="s">
        <v>649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</row>
    <row r="3" spans="1:25">
      <c r="B3" s="128">
        <v>8</v>
      </c>
      <c r="C3" s="133" t="s">
        <v>298</v>
      </c>
      <c r="D3" s="134" t="s">
        <v>293</v>
      </c>
      <c r="E3" s="135" t="s">
        <v>299</v>
      </c>
      <c r="F3" s="135">
        <v>5</v>
      </c>
      <c r="G3" s="134" t="s">
        <v>295</v>
      </c>
      <c r="H3" s="135" t="s">
        <v>295</v>
      </c>
      <c r="I3" s="135" t="s">
        <v>295</v>
      </c>
      <c r="J3" s="135">
        <v>5</v>
      </c>
      <c r="K3" s="136">
        <v>5</v>
      </c>
      <c r="L3" s="347"/>
    </row>
    <row r="4" spans="1:25" ht="15.75" thickBot="1">
      <c r="B4" s="128">
        <v>9</v>
      </c>
      <c r="C4" s="133" t="s">
        <v>300</v>
      </c>
      <c r="D4" s="134" t="s">
        <v>293</v>
      </c>
      <c r="E4" s="135" t="s">
        <v>299</v>
      </c>
      <c r="F4" s="135">
        <v>5</v>
      </c>
      <c r="G4" s="134" t="s">
        <v>295</v>
      </c>
      <c r="H4" s="135" t="s">
        <v>295</v>
      </c>
      <c r="I4" s="135" t="s">
        <v>295</v>
      </c>
      <c r="J4" s="135">
        <v>5</v>
      </c>
      <c r="K4" s="136">
        <v>5</v>
      </c>
      <c r="L4" s="347"/>
    </row>
    <row r="5" spans="1:25">
      <c r="B5" s="125">
        <v>10</v>
      </c>
      <c r="C5" s="133" t="s">
        <v>301</v>
      </c>
      <c r="D5" s="134" t="s">
        <v>293</v>
      </c>
      <c r="E5" s="135" t="s">
        <v>299</v>
      </c>
      <c r="F5" s="135">
        <v>5</v>
      </c>
      <c r="G5" s="134" t="s">
        <v>295</v>
      </c>
      <c r="H5" s="135" t="s">
        <v>295</v>
      </c>
      <c r="I5" s="135" t="s">
        <v>295</v>
      </c>
      <c r="J5" s="135">
        <v>5</v>
      </c>
      <c r="K5" s="136">
        <v>5</v>
      </c>
      <c r="L5" s="347"/>
      <c r="R5" s="24" t="s">
        <v>302</v>
      </c>
      <c r="S5" s="348" t="s">
        <v>303</v>
      </c>
      <c r="T5" s="349"/>
      <c r="U5" s="349"/>
      <c r="V5" s="350"/>
    </row>
    <row r="6" spans="1:25">
      <c r="B6" s="128">
        <v>11</v>
      </c>
      <c r="C6" s="133" t="s">
        <v>304</v>
      </c>
      <c r="D6" s="134" t="s">
        <v>293</v>
      </c>
      <c r="E6" s="135" t="s">
        <v>299</v>
      </c>
      <c r="F6" s="135">
        <v>5</v>
      </c>
      <c r="G6" s="134" t="s">
        <v>295</v>
      </c>
      <c r="H6" s="135" t="s">
        <v>295</v>
      </c>
      <c r="I6" s="135" t="s">
        <v>295</v>
      </c>
      <c r="J6" s="135">
        <v>5</v>
      </c>
      <c r="K6" s="136">
        <v>5</v>
      </c>
      <c r="L6" s="347"/>
      <c r="S6" s="137" t="s">
        <v>305</v>
      </c>
      <c r="T6" s="138"/>
      <c r="U6" s="266">
        <v>55</v>
      </c>
      <c r="V6" s="266">
        <f>U6/U10</f>
        <v>8.3459787556904405E-2</v>
      </c>
    </row>
    <row r="7" spans="1:25" ht="15.75" thickBot="1">
      <c r="B7" s="128">
        <v>12</v>
      </c>
      <c r="C7" s="139" t="s">
        <v>306</v>
      </c>
      <c r="D7" s="140" t="s">
        <v>293</v>
      </c>
      <c r="E7" s="141" t="s">
        <v>299</v>
      </c>
      <c r="F7" s="141">
        <v>5</v>
      </c>
      <c r="G7" s="140" t="s">
        <v>295</v>
      </c>
      <c r="H7" s="141" t="s">
        <v>295</v>
      </c>
      <c r="I7" s="141" t="s">
        <v>295</v>
      </c>
      <c r="J7" s="141">
        <v>5</v>
      </c>
      <c r="K7" s="142">
        <v>5</v>
      </c>
      <c r="L7" s="347"/>
      <c r="S7" s="351" t="s">
        <v>307</v>
      </c>
      <c r="T7" s="352"/>
      <c r="U7" s="143">
        <v>8</v>
      </c>
      <c r="V7" s="143">
        <f>U7/U10</f>
        <v>1.2139605462822459E-2</v>
      </c>
    </row>
    <row r="8" spans="1:25">
      <c r="B8" s="125">
        <v>13</v>
      </c>
      <c r="C8" s="139" t="s">
        <v>308</v>
      </c>
      <c r="D8" s="140" t="s">
        <v>293</v>
      </c>
      <c r="E8" s="141" t="s">
        <v>299</v>
      </c>
      <c r="F8" s="141">
        <v>5</v>
      </c>
      <c r="G8" s="140" t="s">
        <v>295</v>
      </c>
      <c r="H8" s="141" t="s">
        <v>295</v>
      </c>
      <c r="I8" s="141" t="s">
        <v>295</v>
      </c>
      <c r="J8" s="141">
        <v>5</v>
      </c>
      <c r="K8" s="142">
        <v>5</v>
      </c>
      <c r="L8" s="347"/>
      <c r="S8" s="351" t="s">
        <v>309</v>
      </c>
      <c r="T8" s="352"/>
      <c r="U8" s="266">
        <v>596</v>
      </c>
      <c r="V8" s="266">
        <f>U8/U10</f>
        <v>0.90440060698027314</v>
      </c>
    </row>
    <row r="9" spans="1:25">
      <c r="B9" s="128">
        <v>14</v>
      </c>
      <c r="C9" s="139" t="s">
        <v>310</v>
      </c>
      <c r="D9" s="140" t="s">
        <v>293</v>
      </c>
      <c r="E9" s="141" t="s">
        <v>299</v>
      </c>
      <c r="F9" s="141">
        <v>5</v>
      </c>
      <c r="G9" s="140" t="s">
        <v>295</v>
      </c>
      <c r="H9" s="141" t="s">
        <v>295</v>
      </c>
      <c r="I9" s="141" t="s">
        <v>295</v>
      </c>
      <c r="J9" s="141">
        <v>5</v>
      </c>
      <c r="K9" s="142">
        <v>5</v>
      </c>
      <c r="L9" s="347"/>
      <c r="S9" s="335"/>
      <c r="T9" s="335"/>
      <c r="U9" s="266">
        <v>3</v>
      </c>
      <c r="V9" s="266">
        <f>U9/U10</f>
        <v>4.552352048558422E-3</v>
      </c>
    </row>
    <row r="10" spans="1:25" ht="15.75" thickBot="1">
      <c r="B10" s="128">
        <v>15</v>
      </c>
      <c r="C10" s="139" t="s">
        <v>311</v>
      </c>
      <c r="D10" s="140" t="s">
        <v>293</v>
      </c>
      <c r="E10" s="141" t="s">
        <v>299</v>
      </c>
      <c r="F10" s="141">
        <v>5</v>
      </c>
      <c r="G10" s="140" t="s">
        <v>295</v>
      </c>
      <c r="H10" s="141" t="s">
        <v>295</v>
      </c>
      <c r="I10" s="141" t="s">
        <v>295</v>
      </c>
      <c r="J10" s="141">
        <v>5</v>
      </c>
      <c r="K10" s="142">
        <v>5</v>
      </c>
      <c r="L10" s="347"/>
      <c r="S10" s="144"/>
      <c r="T10" s="144"/>
      <c r="U10" s="144">
        <v>659</v>
      </c>
      <c r="V10" s="144"/>
    </row>
    <row r="11" spans="1:25">
      <c r="B11" s="125">
        <v>16</v>
      </c>
      <c r="C11" s="139" t="s">
        <v>312</v>
      </c>
      <c r="D11" s="140" t="s">
        <v>293</v>
      </c>
      <c r="E11" s="141" t="s">
        <v>299</v>
      </c>
      <c r="F11" s="141">
        <v>5</v>
      </c>
      <c r="G11" s="140" t="s">
        <v>295</v>
      </c>
      <c r="H11" s="141" t="s">
        <v>295</v>
      </c>
      <c r="I11" s="141" t="s">
        <v>295</v>
      </c>
      <c r="J11" s="141">
        <v>5</v>
      </c>
      <c r="K11" s="142">
        <v>5</v>
      </c>
      <c r="L11" s="347"/>
      <c r="R11" s="145"/>
      <c r="S11" s="145"/>
      <c r="T11" s="145"/>
      <c r="U11" s="145"/>
      <c r="V11" s="145"/>
      <c r="W11" s="145"/>
      <c r="X11" s="145"/>
    </row>
    <row r="12" spans="1:25">
      <c r="B12" s="128">
        <v>17</v>
      </c>
      <c r="C12" s="139" t="s">
        <v>313</v>
      </c>
      <c r="D12" s="140" t="s">
        <v>293</v>
      </c>
      <c r="E12" s="141" t="s">
        <v>299</v>
      </c>
      <c r="F12" s="141">
        <v>5</v>
      </c>
      <c r="G12" s="140" t="s">
        <v>295</v>
      </c>
      <c r="H12" s="141" t="s">
        <v>295</v>
      </c>
      <c r="I12" s="141" t="s">
        <v>295</v>
      </c>
      <c r="J12" s="141">
        <v>5</v>
      </c>
      <c r="K12" s="142">
        <v>5</v>
      </c>
      <c r="L12" s="347"/>
      <c r="R12" s="145"/>
      <c r="S12" s="145"/>
      <c r="T12" s="145"/>
      <c r="U12" s="145"/>
      <c r="V12" s="145"/>
      <c r="W12" s="145"/>
      <c r="X12" s="145"/>
    </row>
    <row r="13" spans="1:25" ht="15.75" thickBot="1">
      <c r="B13" s="128">
        <v>18</v>
      </c>
      <c r="C13" s="146" t="s">
        <v>314</v>
      </c>
      <c r="D13" s="147" t="s">
        <v>293</v>
      </c>
      <c r="E13" s="148" t="s">
        <v>299</v>
      </c>
      <c r="F13" s="148">
        <v>5</v>
      </c>
      <c r="G13" s="147" t="s">
        <v>295</v>
      </c>
      <c r="H13" s="148" t="s">
        <v>295</v>
      </c>
      <c r="I13" s="148" t="s">
        <v>295</v>
      </c>
      <c r="J13" s="148">
        <v>5</v>
      </c>
      <c r="K13" s="149">
        <v>5</v>
      </c>
      <c r="L13" s="347"/>
      <c r="R13" s="145"/>
      <c r="S13" s="145"/>
      <c r="T13" s="145"/>
      <c r="U13" s="145"/>
      <c r="V13" s="145"/>
      <c r="W13" s="145"/>
      <c r="X13" s="145"/>
    </row>
    <row r="14" spans="1:25">
      <c r="B14" s="125">
        <v>19</v>
      </c>
      <c r="C14" s="146" t="s">
        <v>315</v>
      </c>
      <c r="D14" s="147" t="s">
        <v>293</v>
      </c>
      <c r="E14" s="148" t="s">
        <v>299</v>
      </c>
      <c r="F14" s="148">
        <v>5</v>
      </c>
      <c r="G14" s="147" t="s">
        <v>295</v>
      </c>
      <c r="H14" s="148" t="s">
        <v>295</v>
      </c>
      <c r="I14" s="148" t="s">
        <v>295</v>
      </c>
      <c r="J14" s="148">
        <v>5</v>
      </c>
      <c r="K14" s="149">
        <v>5</v>
      </c>
      <c r="L14" s="347"/>
      <c r="R14" s="145"/>
      <c r="S14" s="145"/>
      <c r="T14" s="145"/>
      <c r="U14" s="145"/>
      <c r="V14" s="145"/>
      <c r="W14" s="145"/>
      <c r="X14" s="145"/>
    </row>
    <row r="15" spans="1:25">
      <c r="B15" s="128">
        <v>20</v>
      </c>
      <c r="C15" s="146" t="s">
        <v>316</v>
      </c>
      <c r="D15" s="147" t="s">
        <v>293</v>
      </c>
      <c r="E15" s="148" t="s">
        <v>299</v>
      </c>
      <c r="F15" s="148">
        <v>5</v>
      </c>
      <c r="G15" s="147" t="s">
        <v>295</v>
      </c>
      <c r="H15" s="148" t="s">
        <v>295</v>
      </c>
      <c r="I15" s="148" t="s">
        <v>295</v>
      </c>
      <c r="J15" s="148">
        <v>5</v>
      </c>
      <c r="K15" s="149">
        <v>5</v>
      </c>
      <c r="L15" s="347"/>
      <c r="R15" s="145"/>
      <c r="S15" s="145"/>
      <c r="T15" s="145"/>
      <c r="U15" s="145"/>
      <c r="V15" s="145"/>
      <c r="W15" s="145"/>
      <c r="X15" s="145"/>
    </row>
    <row r="16" spans="1:25" ht="15.75" thickBot="1">
      <c r="B16" s="128">
        <v>21</v>
      </c>
      <c r="C16" s="146" t="s">
        <v>317</v>
      </c>
      <c r="D16" s="147" t="s">
        <v>293</v>
      </c>
      <c r="E16" s="148" t="s">
        <v>299</v>
      </c>
      <c r="F16" s="148">
        <v>5</v>
      </c>
      <c r="G16" s="147" t="s">
        <v>295</v>
      </c>
      <c r="H16" s="148" t="s">
        <v>295</v>
      </c>
      <c r="I16" s="148" t="s">
        <v>295</v>
      </c>
      <c r="J16" s="148">
        <v>5</v>
      </c>
      <c r="K16" s="149">
        <v>5</v>
      </c>
      <c r="L16" s="347"/>
      <c r="R16" s="144"/>
      <c r="S16" s="144"/>
      <c r="T16" s="144"/>
      <c r="U16" s="144"/>
      <c r="V16" s="144"/>
      <c r="W16" s="144"/>
    </row>
    <row r="17" spans="2:12">
      <c r="B17" s="125">
        <v>22</v>
      </c>
      <c r="C17" s="146" t="s">
        <v>318</v>
      </c>
      <c r="D17" s="147" t="s">
        <v>293</v>
      </c>
      <c r="E17" s="148" t="s">
        <v>299</v>
      </c>
      <c r="F17" s="148">
        <v>5</v>
      </c>
      <c r="G17" s="147" t="s">
        <v>295</v>
      </c>
      <c r="H17" s="148" t="s">
        <v>295</v>
      </c>
      <c r="I17" s="148" t="s">
        <v>295</v>
      </c>
      <c r="J17" s="148">
        <v>5</v>
      </c>
      <c r="K17" s="149">
        <v>5</v>
      </c>
      <c r="L17" s="347"/>
    </row>
    <row r="18" spans="2:12" ht="15.75" thickBot="1">
      <c r="B18" s="128">
        <v>23</v>
      </c>
      <c r="C18" s="146" t="s">
        <v>319</v>
      </c>
      <c r="D18" s="147" t="s">
        <v>320</v>
      </c>
      <c r="E18" s="148" t="s">
        <v>299</v>
      </c>
      <c r="F18" s="148">
        <v>5</v>
      </c>
      <c r="G18" s="147" t="s">
        <v>295</v>
      </c>
      <c r="H18" s="148" t="s">
        <v>295</v>
      </c>
      <c r="I18" s="148" t="s">
        <v>295</v>
      </c>
      <c r="J18" s="148">
        <v>5</v>
      </c>
      <c r="K18" s="149">
        <v>5</v>
      </c>
      <c r="L18" s="347"/>
    </row>
    <row r="19" spans="2:12" ht="15.75" thickBot="1">
      <c r="B19" s="128">
        <v>24</v>
      </c>
      <c r="C19" s="150" t="s">
        <v>321</v>
      </c>
      <c r="D19" s="151" t="s">
        <v>293</v>
      </c>
      <c r="E19" s="152" t="s">
        <v>294</v>
      </c>
      <c r="F19" s="152">
        <v>5</v>
      </c>
      <c r="G19" s="151" t="s">
        <v>179</v>
      </c>
      <c r="H19" s="152" t="s">
        <v>295</v>
      </c>
      <c r="I19" s="153" t="s">
        <v>295</v>
      </c>
      <c r="J19" s="154">
        <v>5</v>
      </c>
      <c r="K19" s="155">
        <v>5</v>
      </c>
      <c r="L19" s="156" t="s">
        <v>184</v>
      </c>
    </row>
    <row r="20" spans="2:12" ht="15.75" customHeight="1">
      <c r="B20" s="125">
        <v>25</v>
      </c>
      <c r="C20" s="157" t="s">
        <v>322</v>
      </c>
      <c r="D20" s="158" t="s">
        <v>293</v>
      </c>
      <c r="E20" s="126" t="s">
        <v>294</v>
      </c>
      <c r="F20" s="126">
        <v>5</v>
      </c>
      <c r="G20" s="158" t="s">
        <v>295</v>
      </c>
      <c r="H20" s="126" t="s">
        <v>295</v>
      </c>
      <c r="I20" s="126" t="s">
        <v>295</v>
      </c>
      <c r="J20" s="126">
        <v>5</v>
      </c>
      <c r="K20" s="127">
        <v>5</v>
      </c>
      <c r="L20" s="353" t="s">
        <v>185</v>
      </c>
    </row>
    <row r="21" spans="2:12">
      <c r="B21" s="128">
        <v>26</v>
      </c>
      <c r="C21" s="159" t="s">
        <v>323</v>
      </c>
      <c r="D21" s="160" t="s">
        <v>293</v>
      </c>
      <c r="E21" s="161" t="s">
        <v>294</v>
      </c>
      <c r="F21" s="161">
        <v>5</v>
      </c>
      <c r="G21" s="160" t="s">
        <v>295</v>
      </c>
      <c r="H21" s="161" t="s">
        <v>295</v>
      </c>
      <c r="I21" s="161" t="s">
        <v>295</v>
      </c>
      <c r="J21" s="161">
        <v>5</v>
      </c>
      <c r="K21" s="162">
        <v>5</v>
      </c>
      <c r="L21" s="354"/>
    </row>
    <row r="22" spans="2:12" ht="15.75" thickBot="1">
      <c r="B22" s="128">
        <v>27</v>
      </c>
      <c r="C22" s="159" t="s">
        <v>324</v>
      </c>
      <c r="D22" s="160" t="s">
        <v>293</v>
      </c>
      <c r="E22" s="161" t="s">
        <v>294</v>
      </c>
      <c r="F22" s="161">
        <v>5</v>
      </c>
      <c r="G22" s="160" t="s">
        <v>295</v>
      </c>
      <c r="H22" s="161" t="s">
        <v>295</v>
      </c>
      <c r="I22" s="161" t="s">
        <v>295</v>
      </c>
      <c r="J22" s="161">
        <v>5</v>
      </c>
      <c r="K22" s="162">
        <v>5</v>
      </c>
      <c r="L22" s="354"/>
    </row>
    <row r="23" spans="2:12">
      <c r="B23" s="125">
        <v>28</v>
      </c>
      <c r="C23" s="159" t="s">
        <v>325</v>
      </c>
      <c r="D23" s="160" t="s">
        <v>293</v>
      </c>
      <c r="E23" s="161" t="s">
        <v>294</v>
      </c>
      <c r="F23" s="161">
        <v>5</v>
      </c>
      <c r="G23" s="160" t="s">
        <v>295</v>
      </c>
      <c r="H23" s="161" t="s">
        <v>295</v>
      </c>
      <c r="I23" s="161" t="s">
        <v>295</v>
      </c>
      <c r="J23" s="161">
        <v>5</v>
      </c>
      <c r="K23" s="162">
        <v>5</v>
      </c>
      <c r="L23" s="354"/>
    </row>
    <row r="24" spans="2:12" ht="18" customHeight="1">
      <c r="B24" s="128">
        <v>29</v>
      </c>
      <c r="C24" s="163" t="s">
        <v>326</v>
      </c>
      <c r="D24" s="160" t="s">
        <v>293</v>
      </c>
      <c r="E24" s="161" t="s">
        <v>294</v>
      </c>
      <c r="F24" s="161">
        <v>5</v>
      </c>
      <c r="G24" s="160" t="s">
        <v>295</v>
      </c>
      <c r="H24" s="161" t="s">
        <v>295</v>
      </c>
      <c r="I24" s="161" t="s">
        <v>295</v>
      </c>
      <c r="J24" s="161">
        <v>5</v>
      </c>
      <c r="K24" s="162">
        <v>5</v>
      </c>
      <c r="L24" s="354"/>
    </row>
    <row r="25" spans="2:12" ht="16.5" customHeight="1" thickBot="1">
      <c r="B25" s="128">
        <v>30</v>
      </c>
      <c r="C25" s="164" t="s">
        <v>327</v>
      </c>
      <c r="D25" s="165" t="s">
        <v>293</v>
      </c>
      <c r="E25" s="166" t="s">
        <v>294</v>
      </c>
      <c r="F25" s="166">
        <v>5</v>
      </c>
      <c r="G25" s="165" t="s">
        <v>295</v>
      </c>
      <c r="H25" s="166" t="s">
        <v>295</v>
      </c>
      <c r="I25" s="166" t="s">
        <v>295</v>
      </c>
      <c r="J25" s="166">
        <v>5</v>
      </c>
      <c r="K25" s="167">
        <v>5</v>
      </c>
      <c r="L25" s="354"/>
    </row>
    <row r="26" spans="2:12" ht="16.5" customHeight="1">
      <c r="B26" s="125">
        <v>31</v>
      </c>
      <c r="C26" s="168" t="s">
        <v>328</v>
      </c>
      <c r="D26" s="134" t="s">
        <v>293</v>
      </c>
      <c r="E26" s="135" t="s">
        <v>294</v>
      </c>
      <c r="F26" s="135">
        <v>5</v>
      </c>
      <c r="G26" s="134" t="s">
        <v>295</v>
      </c>
      <c r="H26" s="135" t="s">
        <v>295</v>
      </c>
      <c r="I26" s="135" t="s">
        <v>295</v>
      </c>
      <c r="J26" s="135">
        <v>5</v>
      </c>
      <c r="K26" s="136">
        <v>5</v>
      </c>
      <c r="L26" s="354"/>
    </row>
    <row r="27" spans="2:12" ht="16.5" customHeight="1">
      <c r="B27" s="128">
        <v>32</v>
      </c>
      <c r="C27" s="168" t="s">
        <v>329</v>
      </c>
      <c r="D27" s="134" t="s">
        <v>293</v>
      </c>
      <c r="E27" s="135" t="s">
        <v>294</v>
      </c>
      <c r="F27" s="135">
        <v>5</v>
      </c>
      <c r="G27" s="134" t="s">
        <v>295</v>
      </c>
      <c r="H27" s="135" t="s">
        <v>295</v>
      </c>
      <c r="I27" s="135" t="s">
        <v>295</v>
      </c>
      <c r="J27" s="135">
        <v>5</v>
      </c>
      <c r="K27" s="136">
        <v>5</v>
      </c>
      <c r="L27" s="354"/>
    </row>
    <row r="28" spans="2:12" ht="16.5" customHeight="1" thickBot="1">
      <c r="B28" s="128">
        <v>33</v>
      </c>
      <c r="C28" s="168" t="s">
        <v>330</v>
      </c>
      <c r="D28" s="134" t="s">
        <v>293</v>
      </c>
      <c r="E28" s="135" t="s">
        <v>294</v>
      </c>
      <c r="F28" s="135">
        <v>5</v>
      </c>
      <c r="G28" s="134" t="s">
        <v>295</v>
      </c>
      <c r="H28" s="135" t="s">
        <v>295</v>
      </c>
      <c r="I28" s="135" t="s">
        <v>295</v>
      </c>
      <c r="J28" s="135">
        <v>5</v>
      </c>
      <c r="K28" s="136">
        <v>5</v>
      </c>
      <c r="L28" s="354"/>
    </row>
    <row r="29" spans="2:12" ht="16.5" customHeight="1">
      <c r="B29" s="125">
        <v>34</v>
      </c>
      <c r="C29" s="169" t="s">
        <v>331</v>
      </c>
      <c r="D29" s="170" t="s">
        <v>293</v>
      </c>
      <c r="E29" s="171" t="s">
        <v>294</v>
      </c>
      <c r="F29" s="171">
        <v>5</v>
      </c>
      <c r="G29" s="170" t="s">
        <v>295</v>
      </c>
      <c r="H29" s="171" t="s">
        <v>295</v>
      </c>
      <c r="I29" s="171" t="s">
        <v>295</v>
      </c>
      <c r="J29" s="171">
        <v>5</v>
      </c>
      <c r="K29" s="172">
        <v>5</v>
      </c>
      <c r="L29" s="354"/>
    </row>
    <row r="30" spans="2:12" ht="16.5" customHeight="1">
      <c r="B30" s="128">
        <v>35</v>
      </c>
      <c r="C30" s="173" t="s">
        <v>332</v>
      </c>
      <c r="D30" s="174" t="s">
        <v>293</v>
      </c>
      <c r="E30" s="174" t="s">
        <v>294</v>
      </c>
      <c r="F30" s="174">
        <v>5</v>
      </c>
      <c r="G30" s="174" t="s">
        <v>295</v>
      </c>
      <c r="H30" s="174" t="s">
        <v>295</v>
      </c>
      <c r="I30" s="174" t="s">
        <v>295</v>
      </c>
      <c r="J30" s="174">
        <v>5</v>
      </c>
      <c r="K30" s="174">
        <v>5</v>
      </c>
      <c r="L30" s="355"/>
    </row>
    <row r="31" spans="2:12" ht="16.5" customHeight="1" thickBot="1">
      <c r="B31" s="128">
        <v>36</v>
      </c>
      <c r="C31" s="173" t="s">
        <v>333</v>
      </c>
      <c r="D31" s="175" t="s">
        <v>293</v>
      </c>
      <c r="E31" s="175" t="s">
        <v>294</v>
      </c>
      <c r="F31" s="175">
        <v>5</v>
      </c>
      <c r="G31" s="175" t="s">
        <v>295</v>
      </c>
      <c r="H31" s="175" t="s">
        <v>295</v>
      </c>
      <c r="I31" s="175" t="s">
        <v>295</v>
      </c>
      <c r="J31" s="175">
        <v>5</v>
      </c>
      <c r="K31" s="175">
        <v>5</v>
      </c>
      <c r="L31" s="355"/>
    </row>
    <row r="32" spans="2:12" ht="16.5" customHeight="1">
      <c r="B32" s="125">
        <v>37</v>
      </c>
      <c r="C32" s="176" t="s">
        <v>334</v>
      </c>
      <c r="D32" s="177" t="s">
        <v>293</v>
      </c>
      <c r="E32" s="177" t="s">
        <v>294</v>
      </c>
      <c r="F32" s="177">
        <v>5</v>
      </c>
      <c r="G32" s="177" t="s">
        <v>295</v>
      </c>
      <c r="H32" s="177" t="s">
        <v>295</v>
      </c>
      <c r="I32" s="177" t="s">
        <v>295</v>
      </c>
      <c r="J32" s="177">
        <v>5</v>
      </c>
      <c r="K32" s="177">
        <v>5</v>
      </c>
      <c r="L32" s="355"/>
    </row>
    <row r="33" spans="2:20" ht="16.5" customHeight="1" thickBot="1">
      <c r="B33" s="128">
        <v>38</v>
      </c>
      <c r="C33" s="178" t="s">
        <v>335</v>
      </c>
      <c r="D33" s="179" t="s">
        <v>293</v>
      </c>
      <c r="E33" s="179" t="s">
        <v>294</v>
      </c>
      <c r="F33" s="179">
        <v>5</v>
      </c>
      <c r="G33" s="179" t="s">
        <v>295</v>
      </c>
      <c r="H33" s="179" t="s">
        <v>295</v>
      </c>
      <c r="I33" s="179" t="s">
        <v>295</v>
      </c>
      <c r="J33" s="179">
        <v>5</v>
      </c>
      <c r="K33" s="179">
        <v>5</v>
      </c>
      <c r="L33" s="356"/>
    </row>
    <row r="34" spans="2:20" ht="15.75" thickBot="1">
      <c r="B34" s="128">
        <v>39</v>
      </c>
      <c r="C34" s="180" t="s">
        <v>336</v>
      </c>
      <c r="D34" s="181" t="s">
        <v>293</v>
      </c>
      <c r="E34" s="129" t="s">
        <v>294</v>
      </c>
      <c r="F34" s="129">
        <v>5</v>
      </c>
      <c r="G34" s="181" t="s">
        <v>295</v>
      </c>
      <c r="H34" s="129" t="s">
        <v>295</v>
      </c>
      <c r="I34" s="129" t="s">
        <v>295</v>
      </c>
      <c r="J34" s="129">
        <v>5</v>
      </c>
      <c r="K34" s="130">
        <v>5</v>
      </c>
      <c r="L34" s="338" t="s">
        <v>186</v>
      </c>
    </row>
    <row r="35" spans="2:20">
      <c r="B35" s="125">
        <v>40</v>
      </c>
      <c r="C35" s="163" t="s">
        <v>337</v>
      </c>
      <c r="D35" s="160" t="s">
        <v>293</v>
      </c>
      <c r="E35" s="161" t="s">
        <v>294</v>
      </c>
      <c r="F35" s="161">
        <v>5</v>
      </c>
      <c r="G35" s="160" t="s">
        <v>295</v>
      </c>
      <c r="H35" s="161" t="s">
        <v>295</v>
      </c>
      <c r="I35" s="161" t="s">
        <v>295</v>
      </c>
      <c r="J35" s="161">
        <v>5</v>
      </c>
      <c r="K35" s="162">
        <v>5</v>
      </c>
      <c r="L35" s="339"/>
    </row>
    <row r="36" spans="2:20">
      <c r="B36" s="128">
        <v>41</v>
      </c>
      <c r="C36" s="182" t="s">
        <v>338</v>
      </c>
      <c r="D36" s="160" t="s">
        <v>293</v>
      </c>
      <c r="E36" s="161" t="s">
        <v>294</v>
      </c>
      <c r="F36" s="161">
        <v>5</v>
      </c>
      <c r="G36" s="160" t="s">
        <v>295</v>
      </c>
      <c r="H36" s="161" t="s">
        <v>295</v>
      </c>
      <c r="I36" s="161" t="s">
        <v>295</v>
      </c>
      <c r="J36" s="161">
        <v>5</v>
      </c>
      <c r="K36" s="162">
        <v>5</v>
      </c>
      <c r="L36" s="339"/>
    </row>
    <row r="37" spans="2:20" ht="15.75" thickBot="1">
      <c r="B37" s="128">
        <v>42</v>
      </c>
      <c r="C37" s="182" t="s">
        <v>339</v>
      </c>
      <c r="D37" s="160" t="s">
        <v>293</v>
      </c>
      <c r="E37" s="161" t="s">
        <v>294</v>
      </c>
      <c r="F37" s="161">
        <v>5</v>
      </c>
      <c r="G37" s="160" t="s">
        <v>295</v>
      </c>
      <c r="H37" s="161" t="s">
        <v>295</v>
      </c>
      <c r="I37" s="161" t="s">
        <v>295</v>
      </c>
      <c r="J37" s="161">
        <v>5</v>
      </c>
      <c r="K37" s="162">
        <v>5</v>
      </c>
      <c r="L37" s="339"/>
    </row>
    <row r="38" spans="2:20">
      <c r="B38" s="125">
        <v>43</v>
      </c>
      <c r="C38" s="183" t="s">
        <v>340</v>
      </c>
      <c r="D38" s="134" t="s">
        <v>293</v>
      </c>
      <c r="E38" s="135" t="s">
        <v>294</v>
      </c>
      <c r="F38" s="135">
        <v>5</v>
      </c>
      <c r="G38" s="134" t="s">
        <v>295</v>
      </c>
      <c r="H38" s="135" t="s">
        <v>295</v>
      </c>
      <c r="I38" s="135" t="s">
        <v>295</v>
      </c>
      <c r="J38" s="135">
        <v>5</v>
      </c>
      <c r="K38" s="135">
        <v>5</v>
      </c>
      <c r="L38" s="339"/>
    </row>
    <row r="39" spans="2:20">
      <c r="B39" s="128">
        <v>44</v>
      </c>
      <c r="C39" s="183" t="s">
        <v>341</v>
      </c>
      <c r="D39" s="134" t="s">
        <v>293</v>
      </c>
      <c r="E39" s="135" t="s">
        <v>294</v>
      </c>
      <c r="F39" s="135">
        <v>5</v>
      </c>
      <c r="G39" s="134" t="s">
        <v>296</v>
      </c>
      <c r="H39" s="135" t="s">
        <v>295</v>
      </c>
      <c r="I39" s="135" t="s">
        <v>295</v>
      </c>
      <c r="J39" s="135">
        <v>5</v>
      </c>
      <c r="K39" s="135">
        <v>5</v>
      </c>
      <c r="L39" s="339"/>
    </row>
    <row r="40" spans="2:20" ht="15.75" thickBot="1">
      <c r="B40" s="128">
        <v>45</v>
      </c>
      <c r="C40" s="183" t="s">
        <v>342</v>
      </c>
      <c r="D40" s="134" t="s">
        <v>293</v>
      </c>
      <c r="E40" s="135" t="s">
        <v>294</v>
      </c>
      <c r="F40" s="135">
        <v>5</v>
      </c>
      <c r="G40" s="134" t="s">
        <v>295</v>
      </c>
      <c r="H40" s="135" t="s">
        <v>295</v>
      </c>
      <c r="I40" s="135" t="s">
        <v>295</v>
      </c>
      <c r="J40" s="135">
        <v>5</v>
      </c>
      <c r="K40" s="135">
        <v>5</v>
      </c>
      <c r="L40" s="339"/>
      <c r="P40" s="24" t="s">
        <v>644</v>
      </c>
      <c r="Q40" s="341" t="s">
        <v>343</v>
      </c>
      <c r="R40" s="335"/>
      <c r="S40" s="335"/>
      <c r="T40" s="335"/>
    </row>
    <row r="41" spans="2:20" ht="30">
      <c r="B41" s="125">
        <v>46</v>
      </c>
      <c r="C41" s="183" t="s">
        <v>344</v>
      </c>
      <c r="D41" s="170" t="s">
        <v>293</v>
      </c>
      <c r="E41" s="135" t="s">
        <v>294</v>
      </c>
      <c r="F41" s="171">
        <v>5</v>
      </c>
      <c r="G41" s="134" t="s">
        <v>295</v>
      </c>
      <c r="H41" s="171" t="s">
        <v>295</v>
      </c>
      <c r="I41" s="171" t="s">
        <v>295</v>
      </c>
      <c r="J41" s="171">
        <v>5</v>
      </c>
      <c r="K41" s="171">
        <v>5</v>
      </c>
      <c r="L41" s="339"/>
      <c r="Q41" s="265" t="s">
        <v>345</v>
      </c>
      <c r="R41" s="266" t="s">
        <v>179</v>
      </c>
      <c r="S41" s="266">
        <v>24</v>
      </c>
      <c r="T41" s="184">
        <f>S41/S49</f>
        <v>3.6418816388467376E-2</v>
      </c>
    </row>
    <row r="42" spans="2:20" ht="30">
      <c r="B42" s="128">
        <v>47</v>
      </c>
      <c r="C42" s="183" t="s">
        <v>346</v>
      </c>
      <c r="D42" s="134" t="s">
        <v>293</v>
      </c>
      <c r="E42" s="135" t="s">
        <v>294</v>
      </c>
      <c r="F42" s="135">
        <v>5</v>
      </c>
      <c r="G42" s="134" t="s">
        <v>295</v>
      </c>
      <c r="H42" s="135" t="s">
        <v>295</v>
      </c>
      <c r="I42" s="135" t="s">
        <v>295</v>
      </c>
      <c r="J42" s="135">
        <v>5</v>
      </c>
      <c r="K42" s="135">
        <v>5</v>
      </c>
      <c r="L42" s="339"/>
      <c r="Q42" s="265" t="s">
        <v>347</v>
      </c>
      <c r="R42" s="266">
        <v>5</v>
      </c>
      <c r="S42" s="266">
        <v>635</v>
      </c>
      <c r="T42" s="184">
        <f>S42/S49</f>
        <v>0.96358118361153267</v>
      </c>
    </row>
    <row r="43" spans="2:20" ht="15.75" thickBot="1">
      <c r="B43" s="128">
        <v>48</v>
      </c>
      <c r="C43" s="183" t="s">
        <v>348</v>
      </c>
      <c r="D43" s="134" t="s">
        <v>293</v>
      </c>
      <c r="E43" s="135" t="s">
        <v>294</v>
      </c>
      <c r="F43" s="135">
        <v>5</v>
      </c>
      <c r="G43" s="134" t="s">
        <v>295</v>
      </c>
      <c r="H43" s="135" t="s">
        <v>295</v>
      </c>
      <c r="I43" s="135" t="s">
        <v>295</v>
      </c>
      <c r="J43" s="135">
        <v>5</v>
      </c>
      <c r="K43" s="135">
        <v>5</v>
      </c>
      <c r="L43" s="339"/>
      <c r="Q43" s="266" t="s">
        <v>349</v>
      </c>
      <c r="R43" s="266">
        <v>4</v>
      </c>
      <c r="S43" s="266"/>
      <c r="T43" s="184">
        <f>S43/S49</f>
        <v>0</v>
      </c>
    </row>
    <row r="44" spans="2:20">
      <c r="B44" s="125">
        <v>49</v>
      </c>
      <c r="C44" s="183" t="s">
        <v>350</v>
      </c>
      <c r="D44" s="134" t="s">
        <v>293</v>
      </c>
      <c r="E44" s="135" t="s">
        <v>294</v>
      </c>
      <c r="F44" s="135">
        <v>5</v>
      </c>
      <c r="G44" s="134" t="s">
        <v>296</v>
      </c>
      <c r="H44" s="135" t="s">
        <v>295</v>
      </c>
      <c r="I44" s="135" t="s">
        <v>295</v>
      </c>
      <c r="J44" s="135">
        <v>5</v>
      </c>
      <c r="K44" s="135">
        <v>5</v>
      </c>
      <c r="L44" s="339"/>
      <c r="Q44" s="266" t="s">
        <v>351</v>
      </c>
      <c r="R44" s="266">
        <v>3</v>
      </c>
      <c r="S44" s="266"/>
      <c r="T44" s="184">
        <f>S44/S49</f>
        <v>0</v>
      </c>
    </row>
    <row r="45" spans="2:20">
      <c r="B45" s="128">
        <v>50</v>
      </c>
      <c r="C45" s="183" t="s">
        <v>352</v>
      </c>
      <c r="D45" s="170" t="s">
        <v>293</v>
      </c>
      <c r="E45" s="135" t="s">
        <v>294</v>
      </c>
      <c r="F45" s="171">
        <v>5</v>
      </c>
      <c r="G45" s="134" t="s">
        <v>296</v>
      </c>
      <c r="H45" s="171" t="s">
        <v>295</v>
      </c>
      <c r="I45" s="171" t="s">
        <v>295</v>
      </c>
      <c r="J45" s="171">
        <v>5</v>
      </c>
      <c r="K45" s="171">
        <v>5</v>
      </c>
      <c r="L45" s="339"/>
      <c r="Q45" s="266" t="s">
        <v>353</v>
      </c>
      <c r="R45" s="266">
        <v>2</v>
      </c>
      <c r="S45" s="266"/>
      <c r="T45" s="185">
        <f>S45/S49</f>
        <v>0</v>
      </c>
    </row>
    <row r="46" spans="2:20" ht="15.75" thickBot="1">
      <c r="B46" s="128">
        <v>51</v>
      </c>
      <c r="C46" s="183" t="s">
        <v>354</v>
      </c>
      <c r="D46" s="134" t="s">
        <v>293</v>
      </c>
      <c r="E46" s="135" t="s">
        <v>294</v>
      </c>
      <c r="F46" s="135">
        <v>5</v>
      </c>
      <c r="G46" s="134" t="s">
        <v>295</v>
      </c>
      <c r="H46" s="171" t="s">
        <v>295</v>
      </c>
      <c r="I46" s="171" t="s">
        <v>295</v>
      </c>
      <c r="J46" s="135">
        <v>5</v>
      </c>
      <c r="K46" s="135">
        <v>5</v>
      </c>
      <c r="L46" s="339"/>
      <c r="Q46" s="266" t="s">
        <v>355</v>
      </c>
      <c r="R46" s="266">
        <v>1</v>
      </c>
      <c r="S46" s="266"/>
      <c r="T46" s="185">
        <f>S46/S49</f>
        <v>0</v>
      </c>
    </row>
    <row r="47" spans="2:20">
      <c r="B47" s="125">
        <v>52</v>
      </c>
      <c r="C47" s="186" t="s">
        <v>356</v>
      </c>
      <c r="D47" s="142" t="s">
        <v>357</v>
      </c>
      <c r="E47" s="142" t="s">
        <v>294</v>
      </c>
      <c r="F47" s="142">
        <v>5</v>
      </c>
      <c r="G47" s="142" t="s">
        <v>295</v>
      </c>
      <c r="H47" s="142" t="s">
        <v>295</v>
      </c>
      <c r="I47" s="142" t="s">
        <v>295</v>
      </c>
      <c r="J47" s="142">
        <v>5</v>
      </c>
      <c r="K47" s="142">
        <v>5</v>
      </c>
      <c r="L47" s="339"/>
    </row>
    <row r="48" spans="2:20">
      <c r="B48" s="128">
        <v>53</v>
      </c>
      <c r="C48" s="186" t="s">
        <v>358</v>
      </c>
      <c r="D48" s="142" t="s">
        <v>293</v>
      </c>
      <c r="E48" s="142" t="s">
        <v>294</v>
      </c>
      <c r="F48" s="142">
        <v>5</v>
      </c>
      <c r="G48" s="142" t="s">
        <v>296</v>
      </c>
      <c r="H48" s="142" t="s">
        <v>295</v>
      </c>
      <c r="I48" s="142" t="s">
        <v>295</v>
      </c>
      <c r="J48" s="142">
        <v>5</v>
      </c>
      <c r="K48" s="142">
        <v>4</v>
      </c>
      <c r="L48" s="339"/>
    </row>
    <row r="49" spans="2:19" ht="15.75" thickBot="1">
      <c r="B49" s="128">
        <v>54</v>
      </c>
      <c r="C49" s="186" t="s">
        <v>359</v>
      </c>
      <c r="D49" s="142" t="s">
        <v>293</v>
      </c>
      <c r="E49" s="142" t="s">
        <v>294</v>
      </c>
      <c r="F49" s="142">
        <v>5</v>
      </c>
      <c r="G49" s="142" t="s">
        <v>295</v>
      </c>
      <c r="H49" s="142" t="s">
        <v>295</v>
      </c>
      <c r="I49" s="142" t="s">
        <v>295</v>
      </c>
      <c r="J49" s="142">
        <v>5</v>
      </c>
      <c r="K49" s="142">
        <v>5</v>
      </c>
      <c r="L49" s="339"/>
      <c r="S49" s="24">
        <v>659</v>
      </c>
    </row>
    <row r="50" spans="2:19">
      <c r="B50" s="125">
        <v>55</v>
      </c>
      <c r="C50" s="186" t="s">
        <v>360</v>
      </c>
      <c r="D50" s="142" t="s">
        <v>293</v>
      </c>
      <c r="E50" s="142" t="s">
        <v>294</v>
      </c>
      <c r="F50" s="142">
        <v>5</v>
      </c>
      <c r="G50" s="142" t="s">
        <v>296</v>
      </c>
      <c r="H50" s="142" t="s">
        <v>295</v>
      </c>
      <c r="I50" s="142" t="s">
        <v>295</v>
      </c>
      <c r="J50" s="142">
        <v>5</v>
      </c>
      <c r="K50" s="142">
        <v>5</v>
      </c>
      <c r="L50" s="339"/>
    </row>
    <row r="51" spans="2:19">
      <c r="B51" s="128">
        <v>56</v>
      </c>
      <c r="C51" s="186" t="s">
        <v>361</v>
      </c>
      <c r="D51" s="142" t="s">
        <v>293</v>
      </c>
      <c r="E51" s="142" t="s">
        <v>294</v>
      </c>
      <c r="F51" s="142">
        <v>5</v>
      </c>
      <c r="G51" s="142" t="s">
        <v>295</v>
      </c>
      <c r="H51" s="142" t="s">
        <v>295</v>
      </c>
      <c r="I51" s="142" t="s">
        <v>295</v>
      </c>
      <c r="J51" s="142">
        <v>5</v>
      </c>
      <c r="K51" s="142">
        <v>5</v>
      </c>
      <c r="L51" s="339"/>
    </row>
    <row r="52" spans="2:19" ht="15.75" thickBot="1">
      <c r="B52" s="128">
        <v>57</v>
      </c>
      <c r="C52" s="186" t="s">
        <v>354</v>
      </c>
      <c r="D52" s="142" t="s">
        <v>357</v>
      </c>
      <c r="E52" s="142" t="s">
        <v>294</v>
      </c>
      <c r="F52" s="142">
        <v>5</v>
      </c>
      <c r="G52" s="142" t="s">
        <v>295</v>
      </c>
      <c r="H52" s="142" t="s">
        <v>295</v>
      </c>
      <c r="I52" s="142" t="s">
        <v>295</v>
      </c>
      <c r="J52" s="142">
        <v>5</v>
      </c>
      <c r="K52" s="142">
        <v>5</v>
      </c>
      <c r="L52" s="339"/>
    </row>
    <row r="53" spans="2:19">
      <c r="B53" s="125">
        <v>58</v>
      </c>
      <c r="C53" s="186" t="s">
        <v>362</v>
      </c>
      <c r="D53" s="142" t="s">
        <v>293</v>
      </c>
      <c r="E53" s="142" t="s">
        <v>294</v>
      </c>
      <c r="F53" s="142">
        <v>5</v>
      </c>
      <c r="G53" s="142" t="s">
        <v>296</v>
      </c>
      <c r="H53" s="142" t="s">
        <v>295</v>
      </c>
      <c r="I53" s="142" t="s">
        <v>295</v>
      </c>
      <c r="J53" s="142">
        <v>5</v>
      </c>
      <c r="K53" s="142">
        <v>5</v>
      </c>
      <c r="L53" s="339"/>
    </row>
    <row r="54" spans="2:19">
      <c r="B54" s="128">
        <v>59</v>
      </c>
      <c r="C54" s="186" t="s">
        <v>363</v>
      </c>
      <c r="D54" s="142" t="s">
        <v>293</v>
      </c>
      <c r="E54" s="142" t="s">
        <v>294</v>
      </c>
      <c r="F54" s="142">
        <v>5</v>
      </c>
      <c r="G54" s="142" t="s">
        <v>296</v>
      </c>
      <c r="H54" s="142" t="s">
        <v>295</v>
      </c>
      <c r="I54" s="142" t="s">
        <v>295</v>
      </c>
      <c r="J54" s="142">
        <v>5</v>
      </c>
      <c r="K54" s="142">
        <v>5</v>
      </c>
      <c r="L54" s="339"/>
    </row>
    <row r="55" spans="2:19" ht="15.75" thickBot="1">
      <c r="B55" s="128">
        <v>60</v>
      </c>
      <c r="C55" s="186" t="s">
        <v>364</v>
      </c>
      <c r="D55" s="142" t="s">
        <v>293</v>
      </c>
      <c r="E55" s="142" t="s">
        <v>294</v>
      </c>
      <c r="F55" s="142">
        <v>4</v>
      </c>
      <c r="G55" s="142" t="s">
        <v>296</v>
      </c>
      <c r="H55" s="142" t="s">
        <v>295</v>
      </c>
      <c r="I55" s="142" t="s">
        <v>295</v>
      </c>
      <c r="J55" s="142">
        <v>5</v>
      </c>
      <c r="K55" s="142">
        <v>5</v>
      </c>
      <c r="L55" s="339"/>
    </row>
    <row r="56" spans="2:19">
      <c r="B56" s="125">
        <v>61</v>
      </c>
      <c r="C56" s="186" t="s">
        <v>365</v>
      </c>
      <c r="D56" s="142" t="s">
        <v>293</v>
      </c>
      <c r="E56" s="142" t="s">
        <v>294</v>
      </c>
      <c r="F56" s="142">
        <v>5</v>
      </c>
      <c r="G56" s="142" t="s">
        <v>296</v>
      </c>
      <c r="H56" s="142" t="s">
        <v>295</v>
      </c>
      <c r="I56" s="142" t="s">
        <v>295</v>
      </c>
      <c r="J56" s="142">
        <v>5</v>
      </c>
      <c r="K56" s="142">
        <v>5</v>
      </c>
      <c r="L56" s="339"/>
    </row>
    <row r="57" spans="2:19">
      <c r="B57" s="128">
        <v>62</v>
      </c>
      <c r="C57" s="186" t="s">
        <v>366</v>
      </c>
      <c r="D57" s="142" t="s">
        <v>293</v>
      </c>
      <c r="E57" s="142" t="s">
        <v>294</v>
      </c>
      <c r="F57" s="142">
        <v>5</v>
      </c>
      <c r="G57" s="142" t="s">
        <v>295</v>
      </c>
      <c r="H57" s="142" t="s">
        <v>295</v>
      </c>
      <c r="I57" s="142" t="s">
        <v>295</v>
      </c>
      <c r="J57" s="142">
        <v>5</v>
      </c>
      <c r="K57" s="142">
        <v>5</v>
      </c>
      <c r="L57" s="339"/>
    </row>
    <row r="58" spans="2:19" ht="15.75" thickBot="1">
      <c r="B58" s="128">
        <v>63</v>
      </c>
      <c r="C58" s="186" t="s">
        <v>367</v>
      </c>
      <c r="D58" s="142" t="s">
        <v>293</v>
      </c>
      <c r="E58" s="142" t="s">
        <v>294</v>
      </c>
      <c r="F58" s="142">
        <v>5</v>
      </c>
      <c r="G58" s="142" t="s">
        <v>295</v>
      </c>
      <c r="H58" s="142" t="s">
        <v>295</v>
      </c>
      <c r="I58" s="142" t="s">
        <v>295</v>
      </c>
      <c r="J58" s="142">
        <v>5</v>
      </c>
      <c r="K58" s="142">
        <v>5</v>
      </c>
      <c r="L58" s="339"/>
    </row>
    <row r="59" spans="2:19">
      <c r="B59" s="125">
        <v>64</v>
      </c>
      <c r="C59" s="186" t="s">
        <v>368</v>
      </c>
      <c r="D59" s="142" t="s">
        <v>293</v>
      </c>
      <c r="E59" s="142" t="s">
        <v>294</v>
      </c>
      <c r="F59" s="142">
        <v>5</v>
      </c>
      <c r="G59" s="142" t="s">
        <v>295</v>
      </c>
      <c r="H59" s="142" t="s">
        <v>295</v>
      </c>
      <c r="I59" s="142" t="s">
        <v>295</v>
      </c>
      <c r="J59" s="142">
        <v>5</v>
      </c>
      <c r="K59" s="142">
        <v>5</v>
      </c>
      <c r="L59" s="339"/>
    </row>
    <row r="60" spans="2:19">
      <c r="B60" s="128">
        <v>65</v>
      </c>
      <c r="C60" s="186" t="s">
        <v>369</v>
      </c>
      <c r="D60" s="142" t="s">
        <v>293</v>
      </c>
      <c r="E60" s="142" t="s">
        <v>294</v>
      </c>
      <c r="F60" s="142">
        <v>5</v>
      </c>
      <c r="G60" s="142" t="s">
        <v>295</v>
      </c>
      <c r="H60" s="142" t="s">
        <v>295</v>
      </c>
      <c r="I60" s="142" t="s">
        <v>295</v>
      </c>
      <c r="J60" s="142">
        <v>5</v>
      </c>
      <c r="K60" s="142">
        <v>5</v>
      </c>
      <c r="L60" s="339"/>
    </row>
    <row r="61" spans="2:19" ht="15.75" thickBot="1">
      <c r="B61" s="128">
        <v>66</v>
      </c>
      <c r="C61" s="186" t="s">
        <v>370</v>
      </c>
      <c r="D61" s="142" t="s">
        <v>293</v>
      </c>
      <c r="E61" s="142" t="s">
        <v>294</v>
      </c>
      <c r="F61" s="142">
        <v>5</v>
      </c>
      <c r="G61" s="142" t="s">
        <v>295</v>
      </c>
      <c r="H61" s="142" t="s">
        <v>295</v>
      </c>
      <c r="I61" s="142" t="s">
        <v>295</v>
      </c>
      <c r="J61" s="142">
        <v>5</v>
      </c>
      <c r="K61" s="142">
        <v>5</v>
      </c>
      <c r="L61" s="339"/>
    </row>
    <row r="62" spans="2:19">
      <c r="B62" s="125">
        <v>67</v>
      </c>
      <c r="C62" s="186" t="s">
        <v>371</v>
      </c>
      <c r="D62" s="142" t="s">
        <v>293</v>
      </c>
      <c r="E62" s="142" t="s">
        <v>294</v>
      </c>
      <c r="F62" s="142">
        <v>5</v>
      </c>
      <c r="G62" s="142" t="s">
        <v>295</v>
      </c>
      <c r="H62" s="142" t="s">
        <v>295</v>
      </c>
      <c r="I62" s="142" t="s">
        <v>295</v>
      </c>
      <c r="J62" s="142">
        <v>5</v>
      </c>
      <c r="K62" s="142">
        <v>5</v>
      </c>
      <c r="L62" s="339"/>
    </row>
    <row r="63" spans="2:19">
      <c r="B63" s="128">
        <v>68</v>
      </c>
      <c r="C63" s="186" t="s">
        <v>372</v>
      </c>
      <c r="D63" s="142" t="s">
        <v>293</v>
      </c>
      <c r="E63" s="142" t="s">
        <v>294</v>
      </c>
      <c r="F63" s="142">
        <v>5</v>
      </c>
      <c r="G63" s="142" t="s">
        <v>295</v>
      </c>
      <c r="H63" s="142" t="s">
        <v>295</v>
      </c>
      <c r="I63" s="142" t="s">
        <v>295</v>
      </c>
      <c r="J63" s="142">
        <v>5</v>
      </c>
      <c r="K63" s="142">
        <v>5</v>
      </c>
      <c r="L63" s="339"/>
    </row>
    <row r="64" spans="2:19" ht="15.75" thickBot="1">
      <c r="B64" s="128">
        <v>69</v>
      </c>
      <c r="C64" s="186" t="s">
        <v>373</v>
      </c>
      <c r="D64" s="142" t="s">
        <v>293</v>
      </c>
      <c r="E64" s="142" t="s">
        <v>294</v>
      </c>
      <c r="F64" s="142">
        <v>5</v>
      </c>
      <c r="G64" s="142" t="s">
        <v>295</v>
      </c>
      <c r="H64" s="142" t="s">
        <v>295</v>
      </c>
      <c r="I64" s="142" t="s">
        <v>295</v>
      </c>
      <c r="J64" s="142">
        <v>5</v>
      </c>
      <c r="K64" s="142">
        <v>5</v>
      </c>
      <c r="L64" s="339"/>
    </row>
    <row r="65" spans="2:20">
      <c r="B65" s="125">
        <v>70</v>
      </c>
      <c r="C65" s="187" t="s">
        <v>374</v>
      </c>
      <c r="D65" s="147" t="s">
        <v>293</v>
      </c>
      <c r="E65" s="148" t="s">
        <v>294</v>
      </c>
      <c r="F65" s="148">
        <v>4</v>
      </c>
      <c r="G65" s="147" t="s">
        <v>295</v>
      </c>
      <c r="H65" s="148" t="s">
        <v>296</v>
      </c>
      <c r="I65" s="148" t="s">
        <v>295</v>
      </c>
      <c r="J65" s="148">
        <v>4</v>
      </c>
      <c r="K65" s="149">
        <v>5</v>
      </c>
      <c r="L65" s="339"/>
    </row>
    <row r="66" spans="2:20">
      <c r="B66" s="128">
        <v>71</v>
      </c>
      <c r="C66" s="187" t="s">
        <v>375</v>
      </c>
      <c r="D66" s="147" t="s">
        <v>293</v>
      </c>
      <c r="E66" s="148" t="s">
        <v>294</v>
      </c>
      <c r="F66" s="148">
        <v>5</v>
      </c>
      <c r="G66" s="147" t="s">
        <v>295</v>
      </c>
      <c r="H66" s="148" t="s">
        <v>295</v>
      </c>
      <c r="I66" s="148" t="s">
        <v>295</v>
      </c>
      <c r="J66" s="148">
        <v>5</v>
      </c>
      <c r="K66" s="149">
        <v>5</v>
      </c>
      <c r="L66" s="339"/>
    </row>
    <row r="67" spans="2:20" ht="15.75" thickBot="1">
      <c r="B67" s="128">
        <v>72</v>
      </c>
      <c r="C67" s="187" t="s">
        <v>376</v>
      </c>
      <c r="D67" s="147" t="s">
        <v>293</v>
      </c>
      <c r="E67" s="148" t="s">
        <v>294</v>
      </c>
      <c r="F67" s="148">
        <v>5</v>
      </c>
      <c r="G67" s="147" t="s">
        <v>295</v>
      </c>
      <c r="H67" s="148" t="s">
        <v>295</v>
      </c>
      <c r="I67" s="148" t="s">
        <v>295</v>
      </c>
      <c r="J67" s="148">
        <v>5</v>
      </c>
      <c r="K67" s="149">
        <v>5</v>
      </c>
      <c r="L67" s="339"/>
    </row>
    <row r="68" spans="2:20">
      <c r="B68" s="125">
        <v>73</v>
      </c>
      <c r="C68" s="187" t="s">
        <v>377</v>
      </c>
      <c r="D68" s="147" t="s">
        <v>293</v>
      </c>
      <c r="E68" s="148" t="s">
        <v>294</v>
      </c>
      <c r="F68" s="148">
        <v>5</v>
      </c>
      <c r="G68" s="147" t="s">
        <v>295</v>
      </c>
      <c r="H68" s="148" t="s">
        <v>295</v>
      </c>
      <c r="I68" s="148" t="s">
        <v>295</v>
      </c>
      <c r="J68" s="148">
        <v>5</v>
      </c>
      <c r="K68" s="149">
        <v>5</v>
      </c>
      <c r="L68" s="339"/>
    </row>
    <row r="69" spans="2:20" ht="15.75" thickBot="1">
      <c r="B69" s="128">
        <v>74</v>
      </c>
      <c r="C69" s="187" t="s">
        <v>378</v>
      </c>
      <c r="D69" s="147" t="s">
        <v>293</v>
      </c>
      <c r="E69" s="148" t="s">
        <v>294</v>
      </c>
      <c r="F69" s="148">
        <v>5</v>
      </c>
      <c r="G69" s="147" t="s">
        <v>295</v>
      </c>
      <c r="H69" s="148" t="s">
        <v>295</v>
      </c>
      <c r="I69" s="148" t="s">
        <v>295</v>
      </c>
      <c r="J69" s="148">
        <v>5</v>
      </c>
      <c r="K69" s="149">
        <v>5</v>
      </c>
      <c r="L69" s="339"/>
    </row>
    <row r="70" spans="2:20" ht="15.75" thickBot="1">
      <c r="B70" s="128">
        <v>75</v>
      </c>
      <c r="C70" s="188" t="s">
        <v>379</v>
      </c>
      <c r="D70" s="189" t="s">
        <v>293</v>
      </c>
      <c r="E70" s="190" t="s">
        <v>294</v>
      </c>
      <c r="F70" s="131">
        <v>5</v>
      </c>
      <c r="G70" s="191" t="s">
        <v>295</v>
      </c>
      <c r="H70" s="131" t="s">
        <v>295</v>
      </c>
      <c r="I70" s="131" t="s">
        <v>295</v>
      </c>
      <c r="J70" s="131">
        <v>5</v>
      </c>
      <c r="K70" s="132">
        <v>5</v>
      </c>
      <c r="L70" s="338" t="s">
        <v>380</v>
      </c>
    </row>
    <row r="71" spans="2:20">
      <c r="B71" s="125">
        <v>76</v>
      </c>
      <c r="C71" s="192" t="s">
        <v>381</v>
      </c>
      <c r="D71" s="193" t="s">
        <v>293</v>
      </c>
      <c r="E71" s="161" t="s">
        <v>294</v>
      </c>
      <c r="F71" s="161">
        <v>5</v>
      </c>
      <c r="G71" s="160" t="s">
        <v>295</v>
      </c>
      <c r="H71" s="161" t="s">
        <v>295</v>
      </c>
      <c r="I71" s="161" t="s">
        <v>295</v>
      </c>
      <c r="J71" s="161">
        <v>5</v>
      </c>
      <c r="K71" s="162">
        <v>5</v>
      </c>
      <c r="L71" s="339"/>
    </row>
    <row r="72" spans="2:20">
      <c r="B72" s="128">
        <v>77</v>
      </c>
      <c r="C72" s="192" t="s">
        <v>382</v>
      </c>
      <c r="D72" s="193" t="s">
        <v>293</v>
      </c>
      <c r="E72" s="161" t="s">
        <v>294</v>
      </c>
      <c r="F72" s="161">
        <v>5</v>
      </c>
      <c r="G72" s="160" t="s">
        <v>295</v>
      </c>
      <c r="H72" s="161" t="s">
        <v>295</v>
      </c>
      <c r="I72" s="161" t="s">
        <v>295</v>
      </c>
      <c r="J72" s="161">
        <v>5</v>
      </c>
      <c r="K72" s="162">
        <v>5</v>
      </c>
      <c r="L72" s="339"/>
    </row>
    <row r="73" spans="2:20" ht="15.75" thickBot="1">
      <c r="B73" s="128">
        <v>78</v>
      </c>
      <c r="C73" s="192" t="s">
        <v>383</v>
      </c>
      <c r="D73" s="193" t="s">
        <v>293</v>
      </c>
      <c r="E73" s="161" t="s">
        <v>294</v>
      </c>
      <c r="F73" s="161">
        <v>5</v>
      </c>
      <c r="G73" s="160" t="s">
        <v>295</v>
      </c>
      <c r="H73" s="161" t="s">
        <v>295</v>
      </c>
      <c r="I73" s="161" t="s">
        <v>295</v>
      </c>
      <c r="J73" s="161">
        <v>5</v>
      </c>
      <c r="K73" s="162">
        <v>5</v>
      </c>
      <c r="L73" s="339"/>
    </row>
    <row r="74" spans="2:20">
      <c r="B74" s="125">
        <v>79</v>
      </c>
      <c r="C74" s="192" t="s">
        <v>384</v>
      </c>
      <c r="D74" s="193" t="s">
        <v>293</v>
      </c>
      <c r="E74" s="161" t="s">
        <v>294</v>
      </c>
      <c r="F74" s="161">
        <v>5</v>
      </c>
      <c r="G74" s="160" t="s">
        <v>295</v>
      </c>
      <c r="H74" s="161" t="s">
        <v>295</v>
      </c>
      <c r="I74" s="161" t="s">
        <v>295</v>
      </c>
      <c r="J74" s="161">
        <v>5</v>
      </c>
      <c r="K74" s="162">
        <v>5</v>
      </c>
      <c r="L74" s="339"/>
    </row>
    <row r="75" spans="2:20">
      <c r="B75" s="128">
        <v>80</v>
      </c>
      <c r="C75" s="192" t="s">
        <v>385</v>
      </c>
      <c r="D75" s="193" t="s">
        <v>293</v>
      </c>
      <c r="E75" s="161" t="s">
        <v>294</v>
      </c>
      <c r="F75" s="161">
        <v>5</v>
      </c>
      <c r="G75" s="160" t="s">
        <v>295</v>
      </c>
      <c r="H75" s="161" t="s">
        <v>295</v>
      </c>
      <c r="I75" s="161" t="s">
        <v>295</v>
      </c>
      <c r="J75" s="161">
        <v>5</v>
      </c>
      <c r="K75" s="162">
        <v>5</v>
      </c>
      <c r="L75" s="339"/>
    </row>
    <row r="76" spans="2:20" ht="15.75" thickBot="1">
      <c r="B76" s="128">
        <v>81</v>
      </c>
      <c r="C76" s="192" t="s">
        <v>386</v>
      </c>
      <c r="D76" s="193" t="s">
        <v>293</v>
      </c>
      <c r="E76" s="161" t="s">
        <v>294</v>
      </c>
      <c r="F76" s="161">
        <v>5</v>
      </c>
      <c r="G76" s="160" t="s">
        <v>295</v>
      </c>
      <c r="H76" s="161" t="s">
        <v>295</v>
      </c>
      <c r="I76" s="161" t="s">
        <v>295</v>
      </c>
      <c r="J76" s="161">
        <v>5</v>
      </c>
      <c r="K76" s="162">
        <v>5</v>
      </c>
      <c r="L76" s="339"/>
    </row>
    <row r="77" spans="2:20" ht="45">
      <c r="B77" s="125">
        <v>82</v>
      </c>
      <c r="C77" s="192" t="s">
        <v>387</v>
      </c>
      <c r="D77" s="193" t="s">
        <v>293</v>
      </c>
      <c r="E77" s="161" t="s">
        <v>294</v>
      </c>
      <c r="F77" s="161">
        <v>5</v>
      </c>
      <c r="G77" s="160" t="s">
        <v>295</v>
      </c>
      <c r="H77" s="161" t="s">
        <v>295</v>
      </c>
      <c r="I77" s="161" t="s">
        <v>295</v>
      </c>
      <c r="J77" s="161">
        <v>5</v>
      </c>
      <c r="K77" s="162">
        <v>5</v>
      </c>
      <c r="L77" s="339"/>
    </row>
    <row r="78" spans="2:20">
      <c r="B78" s="128">
        <v>83</v>
      </c>
      <c r="C78" s="192" t="s">
        <v>388</v>
      </c>
      <c r="D78" s="193" t="s">
        <v>293</v>
      </c>
      <c r="E78" s="161" t="s">
        <v>294</v>
      </c>
      <c r="F78" s="161">
        <v>5</v>
      </c>
      <c r="G78" s="160" t="s">
        <v>295</v>
      </c>
      <c r="H78" s="161" t="s">
        <v>295</v>
      </c>
      <c r="I78" s="161" t="s">
        <v>295</v>
      </c>
      <c r="J78" s="161">
        <v>5</v>
      </c>
      <c r="K78" s="162">
        <v>5</v>
      </c>
      <c r="L78" s="339"/>
    </row>
    <row r="79" spans="2:20" ht="15.75" thickBot="1">
      <c r="B79" s="128">
        <v>84</v>
      </c>
      <c r="C79" s="192" t="s">
        <v>389</v>
      </c>
      <c r="D79" s="193" t="s">
        <v>293</v>
      </c>
      <c r="E79" s="161" t="s">
        <v>294</v>
      </c>
      <c r="F79" s="161">
        <v>5</v>
      </c>
      <c r="G79" s="160" t="s">
        <v>295</v>
      </c>
      <c r="H79" s="161" t="s">
        <v>295</v>
      </c>
      <c r="I79" s="161" t="s">
        <v>295</v>
      </c>
      <c r="J79" s="161">
        <v>5</v>
      </c>
      <c r="K79" s="162">
        <v>5</v>
      </c>
      <c r="L79" s="339"/>
      <c r="P79" s="24" t="s">
        <v>622</v>
      </c>
      <c r="Q79" s="341" t="s">
        <v>391</v>
      </c>
      <c r="R79" s="335"/>
      <c r="S79" s="335"/>
      <c r="T79" s="335"/>
    </row>
    <row r="80" spans="2:20" ht="30">
      <c r="B80" s="125">
        <v>85</v>
      </c>
      <c r="C80" s="192" t="s">
        <v>392</v>
      </c>
      <c r="D80" s="193" t="s">
        <v>293</v>
      </c>
      <c r="E80" s="161" t="s">
        <v>294</v>
      </c>
      <c r="F80" s="161">
        <v>5</v>
      </c>
      <c r="G80" s="160" t="s">
        <v>295</v>
      </c>
      <c r="H80" s="161" t="s">
        <v>295</v>
      </c>
      <c r="I80" s="161" t="s">
        <v>295</v>
      </c>
      <c r="J80" s="161">
        <v>5</v>
      </c>
      <c r="K80" s="162">
        <v>5</v>
      </c>
      <c r="L80" s="339"/>
      <c r="Q80" s="265" t="s">
        <v>345</v>
      </c>
      <c r="R80" s="266" t="s">
        <v>179</v>
      </c>
      <c r="S80" s="266">
        <v>24</v>
      </c>
      <c r="T80" s="266">
        <f>S80/S86</f>
        <v>3.6418816388467376E-2</v>
      </c>
    </row>
    <row r="81" spans="2:20">
      <c r="B81" s="128">
        <v>86</v>
      </c>
      <c r="C81" s="192" t="s">
        <v>393</v>
      </c>
      <c r="D81" s="193" t="s">
        <v>293</v>
      </c>
      <c r="E81" s="161" t="s">
        <v>294</v>
      </c>
      <c r="F81" s="161">
        <v>5</v>
      </c>
      <c r="G81" s="160" t="s">
        <v>295</v>
      </c>
      <c r="H81" s="161" t="s">
        <v>295</v>
      </c>
      <c r="I81" s="161" t="s">
        <v>295</v>
      </c>
      <c r="J81" s="161">
        <v>5</v>
      </c>
      <c r="K81" s="162">
        <v>5</v>
      </c>
      <c r="L81" s="339"/>
      <c r="Q81" s="266" t="s">
        <v>394</v>
      </c>
      <c r="R81" s="266">
        <v>5</v>
      </c>
      <c r="S81" s="266">
        <v>634</v>
      </c>
      <c r="T81" s="266">
        <f>S81/S86</f>
        <v>0.96206373292867986</v>
      </c>
    </row>
    <row r="82" spans="2:20" ht="15.75" thickBot="1">
      <c r="B82" s="128">
        <v>87</v>
      </c>
      <c r="C82" s="192" t="s">
        <v>395</v>
      </c>
      <c r="D82" s="193" t="s">
        <v>293</v>
      </c>
      <c r="E82" s="161" t="s">
        <v>294</v>
      </c>
      <c r="F82" s="161">
        <v>5</v>
      </c>
      <c r="G82" s="160" t="s">
        <v>295</v>
      </c>
      <c r="H82" s="161" t="s">
        <v>295</v>
      </c>
      <c r="I82" s="161" t="s">
        <v>295</v>
      </c>
      <c r="J82" s="161">
        <v>5</v>
      </c>
      <c r="K82" s="162">
        <v>5</v>
      </c>
      <c r="L82" s="339"/>
      <c r="Q82" s="266" t="s">
        <v>349</v>
      </c>
      <c r="R82" s="266">
        <v>4</v>
      </c>
      <c r="S82" s="266">
        <v>1</v>
      </c>
      <c r="T82" s="266">
        <f>S82/S86</f>
        <v>1.5174506828528073E-3</v>
      </c>
    </row>
    <row r="83" spans="2:20">
      <c r="B83" s="125">
        <v>88</v>
      </c>
      <c r="C83" s="192" t="s">
        <v>396</v>
      </c>
      <c r="D83" s="193" t="s">
        <v>293</v>
      </c>
      <c r="E83" s="161" t="s">
        <v>294</v>
      </c>
      <c r="F83" s="161">
        <v>5</v>
      </c>
      <c r="G83" s="160" t="s">
        <v>295</v>
      </c>
      <c r="H83" s="161" t="s">
        <v>295</v>
      </c>
      <c r="I83" s="161" t="s">
        <v>295</v>
      </c>
      <c r="J83" s="161">
        <v>5</v>
      </c>
      <c r="K83" s="162">
        <v>5</v>
      </c>
      <c r="L83" s="339"/>
      <c r="Q83" s="266" t="s">
        <v>351</v>
      </c>
      <c r="R83" s="266">
        <v>3</v>
      </c>
      <c r="S83" s="266"/>
      <c r="T83" s="266">
        <f>S83/S86</f>
        <v>0</v>
      </c>
    </row>
    <row r="84" spans="2:20">
      <c r="B84" s="128">
        <v>89</v>
      </c>
      <c r="C84" s="192" t="s">
        <v>397</v>
      </c>
      <c r="D84" s="193" t="s">
        <v>293</v>
      </c>
      <c r="E84" s="161" t="s">
        <v>294</v>
      </c>
      <c r="F84" s="161">
        <v>5</v>
      </c>
      <c r="G84" s="160" t="s">
        <v>295</v>
      </c>
      <c r="H84" s="161" t="s">
        <v>295</v>
      </c>
      <c r="I84" s="161" t="s">
        <v>295</v>
      </c>
      <c r="J84" s="161">
        <v>5</v>
      </c>
      <c r="K84" s="162">
        <v>5</v>
      </c>
      <c r="L84" s="339"/>
      <c r="Q84" s="266" t="s">
        <v>353</v>
      </c>
      <c r="R84" s="266">
        <v>2</v>
      </c>
      <c r="S84" s="266"/>
      <c r="T84" s="266">
        <f>S84/S86</f>
        <v>0</v>
      </c>
    </row>
    <row r="85" spans="2:20" ht="15.75" thickBot="1">
      <c r="B85" s="128">
        <v>90</v>
      </c>
      <c r="C85" s="192" t="s">
        <v>398</v>
      </c>
      <c r="D85" s="193" t="s">
        <v>293</v>
      </c>
      <c r="E85" s="161" t="s">
        <v>294</v>
      </c>
      <c r="F85" s="161">
        <v>5</v>
      </c>
      <c r="G85" s="160" t="s">
        <v>295</v>
      </c>
      <c r="H85" s="161" t="s">
        <v>295</v>
      </c>
      <c r="I85" s="161" t="s">
        <v>295</v>
      </c>
      <c r="J85" s="161">
        <v>5</v>
      </c>
      <c r="K85" s="162">
        <v>5</v>
      </c>
      <c r="L85" s="339"/>
      <c r="Q85" s="266" t="s">
        <v>355</v>
      </c>
      <c r="R85" s="266">
        <v>1</v>
      </c>
      <c r="S85" s="266"/>
      <c r="T85" s="266">
        <f>S85/S86</f>
        <v>0</v>
      </c>
    </row>
    <row r="86" spans="2:20">
      <c r="B86" s="125">
        <v>91</v>
      </c>
      <c r="C86" s="192" t="s">
        <v>399</v>
      </c>
      <c r="D86" s="193" t="s">
        <v>293</v>
      </c>
      <c r="E86" s="161" t="s">
        <v>294</v>
      </c>
      <c r="F86" s="161">
        <v>5</v>
      </c>
      <c r="G86" s="160" t="s">
        <v>295</v>
      </c>
      <c r="H86" s="161" t="s">
        <v>295</v>
      </c>
      <c r="I86" s="161" t="s">
        <v>295</v>
      </c>
      <c r="J86" s="161">
        <v>5</v>
      </c>
      <c r="K86" s="162">
        <v>5</v>
      </c>
      <c r="L86" s="339"/>
      <c r="S86" s="24">
        <v>659</v>
      </c>
    </row>
    <row r="87" spans="2:20">
      <c r="B87" s="128">
        <v>92</v>
      </c>
      <c r="C87" s="192" t="s">
        <v>400</v>
      </c>
      <c r="D87" s="193" t="s">
        <v>293</v>
      </c>
      <c r="E87" s="161" t="s">
        <v>294</v>
      </c>
      <c r="F87" s="161">
        <v>5</v>
      </c>
      <c r="G87" s="160" t="s">
        <v>295</v>
      </c>
      <c r="H87" s="161" t="s">
        <v>295</v>
      </c>
      <c r="I87" s="161" t="s">
        <v>295</v>
      </c>
      <c r="J87" s="161">
        <v>5</v>
      </c>
      <c r="K87" s="162">
        <v>5</v>
      </c>
      <c r="L87" s="339"/>
    </row>
    <row r="88" spans="2:20" ht="15.75" thickBot="1">
      <c r="B88" s="128">
        <v>93</v>
      </c>
      <c r="C88" s="192" t="s">
        <v>401</v>
      </c>
      <c r="D88" s="193" t="s">
        <v>293</v>
      </c>
      <c r="E88" s="161" t="s">
        <v>294</v>
      </c>
      <c r="F88" s="161">
        <v>5</v>
      </c>
      <c r="G88" s="160" t="s">
        <v>295</v>
      </c>
      <c r="H88" s="161" t="s">
        <v>295</v>
      </c>
      <c r="I88" s="161" t="s">
        <v>295</v>
      </c>
      <c r="J88" s="161">
        <v>5</v>
      </c>
      <c r="K88" s="162">
        <v>5</v>
      </c>
      <c r="L88" s="339"/>
    </row>
    <row r="89" spans="2:20">
      <c r="B89" s="125">
        <v>94</v>
      </c>
      <c r="C89" s="192" t="s">
        <v>402</v>
      </c>
      <c r="D89" s="193" t="s">
        <v>293</v>
      </c>
      <c r="E89" s="161" t="s">
        <v>294</v>
      </c>
      <c r="F89" s="161">
        <v>5</v>
      </c>
      <c r="G89" s="160" t="s">
        <v>295</v>
      </c>
      <c r="H89" s="161" t="s">
        <v>295</v>
      </c>
      <c r="I89" s="161" t="s">
        <v>295</v>
      </c>
      <c r="J89" s="161">
        <v>5</v>
      </c>
      <c r="K89" s="162">
        <v>5</v>
      </c>
      <c r="L89" s="339"/>
    </row>
    <row r="90" spans="2:20">
      <c r="B90" s="128">
        <v>95</v>
      </c>
      <c r="C90" s="192" t="s">
        <v>403</v>
      </c>
      <c r="D90" s="193" t="s">
        <v>293</v>
      </c>
      <c r="E90" s="161" t="s">
        <v>294</v>
      </c>
      <c r="F90" s="161">
        <v>5</v>
      </c>
      <c r="G90" s="160" t="s">
        <v>295</v>
      </c>
      <c r="H90" s="161" t="s">
        <v>295</v>
      </c>
      <c r="I90" s="161" t="s">
        <v>295</v>
      </c>
      <c r="J90" s="161">
        <v>5</v>
      </c>
      <c r="K90" s="162">
        <v>5</v>
      </c>
      <c r="L90" s="339"/>
    </row>
    <row r="91" spans="2:20" ht="15.75" thickBot="1">
      <c r="B91" s="128">
        <v>96</v>
      </c>
      <c r="C91" s="192" t="s">
        <v>404</v>
      </c>
      <c r="D91" s="193" t="s">
        <v>293</v>
      </c>
      <c r="E91" s="161" t="s">
        <v>294</v>
      </c>
      <c r="F91" s="161">
        <v>5</v>
      </c>
      <c r="G91" s="160" t="s">
        <v>295</v>
      </c>
      <c r="H91" s="161" t="s">
        <v>295</v>
      </c>
      <c r="I91" s="161" t="s">
        <v>295</v>
      </c>
      <c r="J91" s="161">
        <v>5</v>
      </c>
      <c r="K91" s="162">
        <v>5</v>
      </c>
      <c r="L91" s="339"/>
    </row>
    <row r="92" spans="2:20">
      <c r="B92" s="125">
        <v>97</v>
      </c>
      <c r="C92" s="194" t="s">
        <v>405</v>
      </c>
      <c r="D92" s="195" t="s">
        <v>293</v>
      </c>
      <c r="E92" s="166" t="s">
        <v>294</v>
      </c>
      <c r="F92" s="166">
        <v>5</v>
      </c>
      <c r="G92" s="165" t="s">
        <v>295</v>
      </c>
      <c r="H92" s="166" t="s">
        <v>295</v>
      </c>
      <c r="I92" s="166" t="s">
        <v>295</v>
      </c>
      <c r="J92" s="166">
        <v>5</v>
      </c>
      <c r="K92" s="167">
        <v>5</v>
      </c>
      <c r="L92" s="339"/>
    </row>
    <row r="93" spans="2:20">
      <c r="B93" s="128">
        <v>98</v>
      </c>
      <c r="C93" s="196" t="s">
        <v>406</v>
      </c>
      <c r="D93" s="134" t="s">
        <v>293</v>
      </c>
      <c r="E93" s="135" t="s">
        <v>294</v>
      </c>
      <c r="F93" s="135">
        <v>5</v>
      </c>
      <c r="G93" s="134" t="s">
        <v>295</v>
      </c>
      <c r="H93" s="135" t="s">
        <v>295</v>
      </c>
      <c r="I93" s="135" t="s">
        <v>295</v>
      </c>
      <c r="J93" s="135">
        <v>5</v>
      </c>
      <c r="K93" s="135">
        <v>5</v>
      </c>
      <c r="L93" s="339"/>
    </row>
    <row r="94" spans="2:20" ht="15.75" thickBot="1">
      <c r="B94" s="128">
        <v>99</v>
      </c>
      <c r="C94" s="196" t="s">
        <v>407</v>
      </c>
      <c r="D94" s="134" t="s">
        <v>293</v>
      </c>
      <c r="E94" s="135" t="s">
        <v>294</v>
      </c>
      <c r="F94" s="135">
        <v>5</v>
      </c>
      <c r="G94" s="134" t="s">
        <v>295</v>
      </c>
      <c r="H94" s="135" t="s">
        <v>295</v>
      </c>
      <c r="I94" s="135" t="s">
        <v>295</v>
      </c>
      <c r="J94" s="135">
        <v>5</v>
      </c>
      <c r="K94" s="135">
        <v>5</v>
      </c>
      <c r="L94" s="339"/>
    </row>
    <row r="95" spans="2:20">
      <c r="B95" s="125">
        <v>100</v>
      </c>
      <c r="C95" s="196" t="s">
        <v>408</v>
      </c>
      <c r="D95" s="134" t="s">
        <v>293</v>
      </c>
      <c r="E95" s="135" t="s">
        <v>294</v>
      </c>
      <c r="F95" s="135">
        <v>5</v>
      </c>
      <c r="G95" s="134" t="s">
        <v>295</v>
      </c>
      <c r="H95" s="135" t="s">
        <v>295</v>
      </c>
      <c r="I95" s="135" t="s">
        <v>295</v>
      </c>
      <c r="J95" s="135">
        <v>5</v>
      </c>
      <c r="K95" s="135">
        <v>5</v>
      </c>
      <c r="L95" s="339"/>
    </row>
    <row r="96" spans="2:20">
      <c r="B96" s="128">
        <v>101</v>
      </c>
      <c r="C96" s="196" t="s">
        <v>409</v>
      </c>
      <c r="D96" s="170" t="s">
        <v>293</v>
      </c>
      <c r="E96" s="135" t="s">
        <v>294</v>
      </c>
      <c r="F96" s="171">
        <v>5</v>
      </c>
      <c r="G96" s="134" t="s">
        <v>295</v>
      </c>
      <c r="H96" s="171" t="s">
        <v>295</v>
      </c>
      <c r="I96" s="171" t="s">
        <v>295</v>
      </c>
      <c r="J96" s="171">
        <v>5</v>
      </c>
      <c r="K96" s="171">
        <v>5</v>
      </c>
      <c r="L96" s="339"/>
    </row>
    <row r="97" spans="2:12" ht="15.75" thickBot="1">
      <c r="B97" s="128">
        <v>102</v>
      </c>
      <c r="C97" s="196" t="s">
        <v>410</v>
      </c>
      <c r="D97" s="134" t="s">
        <v>293</v>
      </c>
      <c r="E97" s="135" t="s">
        <v>294</v>
      </c>
      <c r="F97" s="135">
        <v>5</v>
      </c>
      <c r="G97" s="134" t="s">
        <v>295</v>
      </c>
      <c r="H97" s="135" t="s">
        <v>295</v>
      </c>
      <c r="I97" s="135" t="s">
        <v>295</v>
      </c>
      <c r="J97" s="135">
        <v>5</v>
      </c>
      <c r="K97" s="135">
        <v>5</v>
      </c>
      <c r="L97" s="339"/>
    </row>
    <row r="98" spans="2:12">
      <c r="B98" s="125">
        <v>103</v>
      </c>
      <c r="C98" s="196" t="s">
        <v>411</v>
      </c>
      <c r="D98" s="134" t="s">
        <v>293</v>
      </c>
      <c r="E98" s="135" t="s">
        <v>294</v>
      </c>
      <c r="F98" s="135">
        <v>5</v>
      </c>
      <c r="G98" s="134" t="s">
        <v>295</v>
      </c>
      <c r="H98" s="135" t="s">
        <v>295</v>
      </c>
      <c r="I98" s="135" t="s">
        <v>295</v>
      </c>
      <c r="J98" s="135">
        <v>5</v>
      </c>
      <c r="K98" s="135">
        <v>5</v>
      </c>
      <c r="L98" s="339"/>
    </row>
    <row r="99" spans="2:12">
      <c r="B99" s="128">
        <v>104</v>
      </c>
      <c r="C99" s="196" t="s">
        <v>412</v>
      </c>
      <c r="D99" s="134" t="s">
        <v>293</v>
      </c>
      <c r="E99" s="135" t="s">
        <v>294</v>
      </c>
      <c r="F99" s="135">
        <v>5</v>
      </c>
      <c r="G99" s="134" t="s">
        <v>295</v>
      </c>
      <c r="H99" s="135" t="s">
        <v>295</v>
      </c>
      <c r="I99" s="135" t="s">
        <v>295</v>
      </c>
      <c r="J99" s="135">
        <v>5</v>
      </c>
      <c r="K99" s="135">
        <v>5</v>
      </c>
      <c r="L99" s="339"/>
    </row>
    <row r="100" spans="2:12" ht="15.75" thickBot="1">
      <c r="B100" s="128">
        <v>105</v>
      </c>
      <c r="C100" s="196" t="s">
        <v>413</v>
      </c>
      <c r="D100" s="170" t="s">
        <v>293</v>
      </c>
      <c r="E100" s="135" t="s">
        <v>294</v>
      </c>
      <c r="F100" s="171">
        <v>5</v>
      </c>
      <c r="G100" s="134" t="s">
        <v>295</v>
      </c>
      <c r="H100" s="171" t="s">
        <v>295</v>
      </c>
      <c r="I100" s="171" t="s">
        <v>295</v>
      </c>
      <c r="J100" s="171">
        <v>5</v>
      </c>
      <c r="K100" s="171">
        <v>5</v>
      </c>
      <c r="L100" s="339"/>
    </row>
    <row r="101" spans="2:12">
      <c r="B101" s="125">
        <v>106</v>
      </c>
      <c r="C101" s="196" t="s">
        <v>414</v>
      </c>
      <c r="D101" s="134" t="s">
        <v>293</v>
      </c>
      <c r="E101" s="135" t="s">
        <v>294</v>
      </c>
      <c r="F101" s="135">
        <v>5</v>
      </c>
      <c r="G101" s="134" t="s">
        <v>295</v>
      </c>
      <c r="H101" s="171" t="s">
        <v>295</v>
      </c>
      <c r="I101" s="171" t="s">
        <v>295</v>
      </c>
      <c r="J101" s="135">
        <v>5</v>
      </c>
      <c r="K101" s="135">
        <v>5</v>
      </c>
      <c r="L101" s="339"/>
    </row>
    <row r="102" spans="2:12" ht="15.75" thickBot="1">
      <c r="B102" s="128">
        <v>107</v>
      </c>
      <c r="C102" s="196" t="s">
        <v>415</v>
      </c>
      <c r="D102" s="134" t="s">
        <v>293</v>
      </c>
      <c r="E102" s="135" t="s">
        <v>294</v>
      </c>
      <c r="F102" s="171">
        <v>5</v>
      </c>
      <c r="G102" s="134" t="s">
        <v>295</v>
      </c>
      <c r="H102" s="171" t="s">
        <v>295</v>
      </c>
      <c r="I102" s="171" t="s">
        <v>295</v>
      </c>
      <c r="J102" s="171">
        <v>5</v>
      </c>
      <c r="K102" s="172">
        <v>5</v>
      </c>
      <c r="L102" s="339"/>
    </row>
    <row r="103" spans="2:12" ht="15" customHeight="1" thickBot="1">
      <c r="B103" s="128">
        <v>108</v>
      </c>
      <c r="C103" s="197" t="s">
        <v>416</v>
      </c>
      <c r="D103" s="158" t="s">
        <v>293</v>
      </c>
      <c r="E103" s="127" t="s">
        <v>294</v>
      </c>
      <c r="F103" s="127">
        <v>5</v>
      </c>
      <c r="G103" s="127" t="s">
        <v>295</v>
      </c>
      <c r="H103" s="127" t="s">
        <v>295</v>
      </c>
      <c r="I103" s="127" t="s">
        <v>295</v>
      </c>
      <c r="J103" s="127">
        <v>5</v>
      </c>
      <c r="K103" s="127">
        <v>5</v>
      </c>
      <c r="L103" s="338" t="s">
        <v>417</v>
      </c>
    </row>
    <row r="104" spans="2:12">
      <c r="B104" s="125">
        <v>109</v>
      </c>
      <c r="C104" s="198" t="s">
        <v>418</v>
      </c>
      <c r="D104" s="160" t="s">
        <v>293</v>
      </c>
      <c r="E104" s="162" t="s">
        <v>294</v>
      </c>
      <c r="F104" s="162">
        <v>5</v>
      </c>
      <c r="G104" s="162" t="s">
        <v>295</v>
      </c>
      <c r="H104" s="162" t="s">
        <v>295</v>
      </c>
      <c r="I104" s="162" t="s">
        <v>295</v>
      </c>
      <c r="J104" s="162">
        <v>5</v>
      </c>
      <c r="K104" s="162">
        <v>5</v>
      </c>
      <c r="L104" s="339"/>
    </row>
    <row r="105" spans="2:12">
      <c r="B105" s="128">
        <v>110</v>
      </c>
      <c r="C105" s="198" t="s">
        <v>419</v>
      </c>
      <c r="D105" s="160" t="s">
        <v>293</v>
      </c>
      <c r="E105" s="162" t="s">
        <v>294</v>
      </c>
      <c r="F105" s="162">
        <v>5</v>
      </c>
      <c r="G105" s="162" t="s">
        <v>295</v>
      </c>
      <c r="H105" s="162" t="s">
        <v>295</v>
      </c>
      <c r="I105" s="162" t="s">
        <v>295</v>
      </c>
      <c r="J105" s="162">
        <v>5</v>
      </c>
      <c r="K105" s="162">
        <v>5</v>
      </c>
      <c r="L105" s="339"/>
    </row>
    <row r="106" spans="2:12" ht="15.75" thickBot="1">
      <c r="B106" s="128">
        <v>111</v>
      </c>
      <c r="C106" s="198" t="s">
        <v>420</v>
      </c>
      <c r="D106" s="160" t="s">
        <v>293</v>
      </c>
      <c r="E106" s="162" t="s">
        <v>294</v>
      </c>
      <c r="F106" s="162">
        <v>5</v>
      </c>
      <c r="G106" s="162" t="s">
        <v>295</v>
      </c>
      <c r="H106" s="162" t="s">
        <v>295</v>
      </c>
      <c r="I106" s="162" t="s">
        <v>295</v>
      </c>
      <c r="J106" s="162">
        <v>5</v>
      </c>
      <c r="K106" s="162">
        <v>5</v>
      </c>
      <c r="L106" s="339"/>
    </row>
    <row r="107" spans="2:12">
      <c r="B107" s="125">
        <v>112</v>
      </c>
      <c r="C107" s="198" t="s">
        <v>421</v>
      </c>
      <c r="D107" s="160" t="s">
        <v>293</v>
      </c>
      <c r="E107" s="162" t="s">
        <v>294</v>
      </c>
      <c r="F107" s="162">
        <v>5</v>
      </c>
      <c r="G107" s="162" t="s">
        <v>295</v>
      </c>
      <c r="H107" s="162" t="s">
        <v>295</v>
      </c>
      <c r="I107" s="162" t="s">
        <v>295</v>
      </c>
      <c r="J107" s="162">
        <v>5</v>
      </c>
      <c r="K107" s="162">
        <v>5</v>
      </c>
      <c r="L107" s="339"/>
    </row>
    <row r="108" spans="2:12">
      <c r="B108" s="128">
        <v>113</v>
      </c>
      <c r="C108" s="198" t="s">
        <v>422</v>
      </c>
      <c r="D108" s="160" t="s">
        <v>293</v>
      </c>
      <c r="E108" s="162" t="s">
        <v>294</v>
      </c>
      <c r="F108" s="162">
        <v>5</v>
      </c>
      <c r="G108" s="162" t="s">
        <v>295</v>
      </c>
      <c r="H108" s="162" t="s">
        <v>295</v>
      </c>
      <c r="I108" s="162" t="s">
        <v>296</v>
      </c>
      <c r="J108" s="162">
        <v>5</v>
      </c>
      <c r="K108" s="162">
        <v>5</v>
      </c>
      <c r="L108" s="339"/>
    </row>
    <row r="109" spans="2:12" ht="15.75" thickBot="1">
      <c r="B109" s="128">
        <v>114</v>
      </c>
      <c r="C109" s="198" t="s">
        <v>423</v>
      </c>
      <c r="D109" s="160" t="s">
        <v>293</v>
      </c>
      <c r="E109" s="162" t="s">
        <v>294</v>
      </c>
      <c r="F109" s="162">
        <v>5</v>
      </c>
      <c r="G109" s="162" t="s">
        <v>295</v>
      </c>
      <c r="H109" s="162" t="s">
        <v>295</v>
      </c>
      <c r="I109" s="162" t="s">
        <v>296</v>
      </c>
      <c r="J109" s="162">
        <v>5</v>
      </c>
      <c r="K109" s="162">
        <v>5</v>
      </c>
      <c r="L109" s="339"/>
    </row>
    <row r="110" spans="2:12">
      <c r="B110" s="125">
        <v>115</v>
      </c>
      <c r="C110" s="198" t="s">
        <v>424</v>
      </c>
      <c r="D110" s="160" t="s">
        <v>293</v>
      </c>
      <c r="E110" s="162" t="s">
        <v>294</v>
      </c>
      <c r="F110" s="162">
        <v>5</v>
      </c>
      <c r="G110" s="162" t="s">
        <v>295</v>
      </c>
      <c r="H110" s="162" t="s">
        <v>295</v>
      </c>
      <c r="I110" s="162" t="s">
        <v>295</v>
      </c>
      <c r="J110" s="162">
        <v>4</v>
      </c>
      <c r="K110" s="162">
        <v>5</v>
      </c>
      <c r="L110" s="339"/>
    </row>
    <row r="111" spans="2:12">
      <c r="B111" s="128">
        <v>116</v>
      </c>
      <c r="C111" s="198" t="s">
        <v>425</v>
      </c>
      <c r="D111" s="160" t="s">
        <v>293</v>
      </c>
      <c r="E111" s="162" t="s">
        <v>294</v>
      </c>
      <c r="F111" s="162">
        <v>5</v>
      </c>
      <c r="G111" s="162" t="s">
        <v>295</v>
      </c>
      <c r="H111" s="162" t="s">
        <v>295</v>
      </c>
      <c r="I111" s="162" t="s">
        <v>295</v>
      </c>
      <c r="J111" s="162">
        <v>5</v>
      </c>
      <c r="K111" s="162">
        <v>5</v>
      </c>
      <c r="L111" s="339"/>
    </row>
    <row r="112" spans="2:12" ht="15.75" thickBot="1">
      <c r="B112" s="128">
        <v>117</v>
      </c>
      <c r="C112" s="198" t="s">
        <v>426</v>
      </c>
      <c r="D112" s="160" t="s">
        <v>293</v>
      </c>
      <c r="E112" s="162" t="s">
        <v>294</v>
      </c>
      <c r="F112" s="162">
        <v>5</v>
      </c>
      <c r="G112" s="162" t="s">
        <v>295</v>
      </c>
      <c r="H112" s="162" t="s">
        <v>295</v>
      </c>
      <c r="I112" s="162" t="s">
        <v>295</v>
      </c>
      <c r="J112" s="162">
        <v>4</v>
      </c>
      <c r="K112" s="162">
        <v>4</v>
      </c>
      <c r="L112" s="339"/>
    </row>
    <row r="113" spans="2:22">
      <c r="B113" s="125">
        <v>118</v>
      </c>
      <c r="C113" s="198" t="s">
        <v>427</v>
      </c>
      <c r="D113" s="160" t="s">
        <v>293</v>
      </c>
      <c r="E113" s="162" t="s">
        <v>294</v>
      </c>
      <c r="F113" s="162">
        <v>5</v>
      </c>
      <c r="G113" s="162" t="s">
        <v>295</v>
      </c>
      <c r="H113" s="162" t="s">
        <v>295</v>
      </c>
      <c r="I113" s="162" t="s">
        <v>295</v>
      </c>
      <c r="J113" s="162">
        <v>5</v>
      </c>
      <c r="K113" s="162">
        <v>5</v>
      </c>
      <c r="L113" s="339"/>
    </row>
    <row r="114" spans="2:22">
      <c r="B114" s="128">
        <v>119</v>
      </c>
      <c r="C114" s="199" t="s">
        <v>428</v>
      </c>
      <c r="D114" s="165" t="s">
        <v>293</v>
      </c>
      <c r="E114" s="167" t="s">
        <v>294</v>
      </c>
      <c r="F114" s="167">
        <v>5</v>
      </c>
      <c r="G114" s="167" t="s">
        <v>295</v>
      </c>
      <c r="H114" s="167" t="s">
        <v>295</v>
      </c>
      <c r="I114" s="167" t="s">
        <v>295</v>
      </c>
      <c r="J114" s="167">
        <v>5</v>
      </c>
      <c r="K114" s="167">
        <v>5</v>
      </c>
      <c r="L114" s="339"/>
    </row>
    <row r="115" spans="2:22" ht="15.75" thickBot="1">
      <c r="B115" s="128">
        <v>120</v>
      </c>
      <c r="C115" s="200" t="s">
        <v>429</v>
      </c>
      <c r="D115" s="201" t="s">
        <v>293</v>
      </c>
      <c r="E115" s="201" t="s">
        <v>294</v>
      </c>
      <c r="F115" s="201">
        <v>5</v>
      </c>
      <c r="G115" s="201" t="s">
        <v>295</v>
      </c>
      <c r="H115" s="201" t="s">
        <v>295</v>
      </c>
      <c r="I115" s="201" t="s">
        <v>295</v>
      </c>
      <c r="J115" s="201">
        <v>5</v>
      </c>
      <c r="K115" s="201">
        <v>5</v>
      </c>
      <c r="L115" s="342"/>
    </row>
    <row r="116" spans="2:22">
      <c r="B116" s="125">
        <v>121</v>
      </c>
      <c r="C116" s="200" t="s">
        <v>430</v>
      </c>
      <c r="D116" s="201" t="s">
        <v>293</v>
      </c>
      <c r="E116" s="201" t="s">
        <v>294</v>
      </c>
      <c r="F116" s="201">
        <v>5</v>
      </c>
      <c r="G116" s="201" t="s">
        <v>295</v>
      </c>
      <c r="H116" s="201" t="s">
        <v>295</v>
      </c>
      <c r="I116" s="201" t="s">
        <v>296</v>
      </c>
      <c r="J116" s="201">
        <v>5</v>
      </c>
      <c r="K116" s="201">
        <v>5</v>
      </c>
      <c r="L116" s="342"/>
    </row>
    <row r="117" spans="2:22">
      <c r="B117" s="128">
        <v>122</v>
      </c>
      <c r="C117" s="200" t="s">
        <v>431</v>
      </c>
      <c r="D117" s="201" t="s">
        <v>293</v>
      </c>
      <c r="E117" s="201" t="s">
        <v>294</v>
      </c>
      <c r="F117" s="201">
        <v>5</v>
      </c>
      <c r="G117" s="201" t="s">
        <v>295</v>
      </c>
      <c r="H117" s="201" t="s">
        <v>295</v>
      </c>
      <c r="I117" s="201" t="s">
        <v>295</v>
      </c>
      <c r="J117" s="201">
        <v>5</v>
      </c>
      <c r="K117" s="201">
        <v>5</v>
      </c>
      <c r="L117" s="342"/>
    </row>
    <row r="118" spans="2:22" ht="15.75" thickBot="1">
      <c r="B118" s="128">
        <v>123</v>
      </c>
      <c r="C118" s="200" t="s">
        <v>432</v>
      </c>
      <c r="D118" s="201" t="s">
        <v>293</v>
      </c>
      <c r="E118" s="201" t="s">
        <v>294</v>
      </c>
      <c r="F118" s="201">
        <v>5</v>
      </c>
      <c r="G118" s="201" t="s">
        <v>295</v>
      </c>
      <c r="H118" s="201" t="s">
        <v>295</v>
      </c>
      <c r="I118" s="201" t="s">
        <v>295</v>
      </c>
      <c r="J118" s="201">
        <v>5</v>
      </c>
      <c r="K118" s="201">
        <v>5</v>
      </c>
      <c r="L118" s="342"/>
    </row>
    <row r="119" spans="2:22">
      <c r="B119" s="125">
        <v>124</v>
      </c>
      <c r="C119" s="200" t="s">
        <v>433</v>
      </c>
      <c r="D119" s="201" t="s">
        <v>293</v>
      </c>
      <c r="E119" s="201" t="s">
        <v>294</v>
      </c>
      <c r="F119" s="201">
        <v>5</v>
      </c>
      <c r="G119" s="201" t="s">
        <v>295</v>
      </c>
      <c r="H119" s="201" t="s">
        <v>295</v>
      </c>
      <c r="I119" s="201" t="s">
        <v>296</v>
      </c>
      <c r="J119" s="201">
        <v>5</v>
      </c>
      <c r="K119" s="201">
        <v>5</v>
      </c>
      <c r="L119" s="342"/>
    </row>
    <row r="120" spans="2:22">
      <c r="B120" s="128">
        <v>125</v>
      </c>
      <c r="C120" s="200" t="s">
        <v>434</v>
      </c>
      <c r="D120" s="201" t="s">
        <v>293</v>
      </c>
      <c r="E120" s="201" t="s">
        <v>294</v>
      </c>
      <c r="F120" s="201">
        <v>5</v>
      </c>
      <c r="G120" s="201" t="s">
        <v>295</v>
      </c>
      <c r="H120" s="201" t="s">
        <v>295</v>
      </c>
      <c r="I120" s="201" t="s">
        <v>295</v>
      </c>
      <c r="J120" s="201">
        <v>5</v>
      </c>
      <c r="K120" s="201">
        <v>5</v>
      </c>
      <c r="L120" s="342"/>
    </row>
    <row r="121" spans="2:22" ht="15.75" thickBot="1">
      <c r="B121" s="128">
        <v>126</v>
      </c>
      <c r="C121" s="202" t="s">
        <v>435</v>
      </c>
      <c r="D121" s="203" t="s">
        <v>293</v>
      </c>
      <c r="E121" s="204" t="s">
        <v>294</v>
      </c>
      <c r="F121" s="204">
        <v>5</v>
      </c>
      <c r="G121" s="204" t="s">
        <v>295</v>
      </c>
      <c r="H121" s="204" t="s">
        <v>295</v>
      </c>
      <c r="I121" s="204" t="s">
        <v>295</v>
      </c>
      <c r="J121" s="204">
        <v>5</v>
      </c>
      <c r="K121" s="204">
        <v>5</v>
      </c>
      <c r="L121" s="339"/>
    </row>
    <row r="122" spans="2:22">
      <c r="B122" s="125">
        <v>127</v>
      </c>
      <c r="C122" s="205" t="s">
        <v>436</v>
      </c>
      <c r="D122" s="206" t="s">
        <v>293</v>
      </c>
      <c r="E122" s="206" t="s">
        <v>294</v>
      </c>
      <c r="F122" s="206">
        <v>5</v>
      </c>
      <c r="G122" s="206" t="s">
        <v>295</v>
      </c>
      <c r="H122" s="206" t="s">
        <v>295</v>
      </c>
      <c r="I122" s="206" t="s">
        <v>295</v>
      </c>
      <c r="J122" s="206">
        <v>5</v>
      </c>
      <c r="K122" s="206">
        <v>5</v>
      </c>
      <c r="L122" s="342"/>
    </row>
    <row r="123" spans="2:22">
      <c r="B123" s="128">
        <v>128</v>
      </c>
      <c r="C123" s="205" t="s">
        <v>437</v>
      </c>
      <c r="D123" s="206" t="s">
        <v>293</v>
      </c>
      <c r="E123" s="206" t="s">
        <v>294</v>
      </c>
      <c r="F123" s="206">
        <v>5</v>
      </c>
      <c r="G123" s="206" t="s">
        <v>295</v>
      </c>
      <c r="H123" s="206" t="s">
        <v>295</v>
      </c>
      <c r="I123" s="206" t="s">
        <v>295</v>
      </c>
      <c r="J123" s="206">
        <v>5</v>
      </c>
      <c r="K123" s="206">
        <v>5</v>
      </c>
      <c r="L123" s="342"/>
    </row>
    <row r="124" spans="2:22" ht="15.75" thickBot="1">
      <c r="B124" s="128">
        <v>129</v>
      </c>
      <c r="C124" s="205" t="s">
        <v>438</v>
      </c>
      <c r="D124" s="206" t="s">
        <v>293</v>
      </c>
      <c r="E124" s="206" t="s">
        <v>294</v>
      </c>
      <c r="F124" s="206">
        <v>5</v>
      </c>
      <c r="G124" s="206" t="s">
        <v>295</v>
      </c>
      <c r="H124" s="206" t="s">
        <v>295</v>
      </c>
      <c r="I124" s="206" t="s">
        <v>295</v>
      </c>
      <c r="J124" s="206">
        <v>5</v>
      </c>
      <c r="K124" s="206">
        <v>5</v>
      </c>
      <c r="L124" s="342"/>
    </row>
    <row r="125" spans="2:22">
      <c r="B125" s="125">
        <v>130</v>
      </c>
      <c r="C125" s="205" t="s">
        <v>439</v>
      </c>
      <c r="D125" s="206" t="s">
        <v>293</v>
      </c>
      <c r="E125" s="206" t="s">
        <v>294</v>
      </c>
      <c r="F125" s="206">
        <v>5</v>
      </c>
      <c r="G125" s="206" t="s">
        <v>295</v>
      </c>
      <c r="H125" s="206" t="s">
        <v>295</v>
      </c>
      <c r="I125" s="206" t="s">
        <v>295</v>
      </c>
      <c r="J125" s="206">
        <v>5</v>
      </c>
      <c r="K125" s="206">
        <v>5</v>
      </c>
      <c r="L125" s="342"/>
    </row>
    <row r="126" spans="2:22">
      <c r="B126" s="128">
        <v>131</v>
      </c>
      <c r="C126" s="205" t="s">
        <v>440</v>
      </c>
      <c r="D126" s="206" t="s">
        <v>293</v>
      </c>
      <c r="E126" s="206" t="s">
        <v>294</v>
      </c>
      <c r="F126" s="206">
        <v>5</v>
      </c>
      <c r="G126" s="206" t="s">
        <v>295</v>
      </c>
      <c r="H126" s="206" t="s">
        <v>295</v>
      </c>
      <c r="I126" s="206" t="s">
        <v>295</v>
      </c>
      <c r="J126" s="206">
        <v>5</v>
      </c>
      <c r="K126" s="206">
        <v>5</v>
      </c>
      <c r="L126" s="342"/>
    </row>
    <row r="127" spans="2:22" ht="15.75" thickBot="1">
      <c r="B127" s="128">
        <v>132</v>
      </c>
      <c r="C127" s="205" t="s">
        <v>441</v>
      </c>
      <c r="D127" s="206" t="s">
        <v>293</v>
      </c>
      <c r="E127" s="206" t="s">
        <v>294</v>
      </c>
      <c r="F127" s="206">
        <v>5</v>
      </c>
      <c r="G127" s="206" t="s">
        <v>295</v>
      </c>
      <c r="H127" s="206" t="s">
        <v>295</v>
      </c>
      <c r="I127" s="206" t="s">
        <v>295</v>
      </c>
      <c r="J127" s="206">
        <v>5</v>
      </c>
      <c r="K127" s="206">
        <v>5</v>
      </c>
      <c r="L127" s="342"/>
    </row>
    <row r="128" spans="2:22">
      <c r="B128" s="125">
        <v>133</v>
      </c>
      <c r="C128" s="205" t="s">
        <v>442</v>
      </c>
      <c r="D128" s="206" t="s">
        <v>293</v>
      </c>
      <c r="E128" s="206" t="s">
        <v>294</v>
      </c>
      <c r="F128" s="206">
        <v>5</v>
      </c>
      <c r="G128" s="206" t="s">
        <v>295</v>
      </c>
      <c r="H128" s="206" t="s">
        <v>295</v>
      </c>
      <c r="I128" s="206" t="s">
        <v>295</v>
      </c>
      <c r="J128" s="206">
        <v>5</v>
      </c>
      <c r="K128" s="206">
        <v>5</v>
      </c>
      <c r="L128" s="342"/>
      <c r="R128" s="24" t="s">
        <v>538</v>
      </c>
      <c r="S128" s="341" t="s">
        <v>444</v>
      </c>
      <c r="T128" s="335"/>
      <c r="U128" s="335"/>
      <c r="V128" s="335"/>
    </row>
    <row r="129" spans="2:22">
      <c r="B129" s="128">
        <v>134</v>
      </c>
      <c r="C129" s="205" t="s">
        <v>445</v>
      </c>
      <c r="D129" s="206" t="s">
        <v>293</v>
      </c>
      <c r="E129" s="206" t="s">
        <v>294</v>
      </c>
      <c r="F129" s="206">
        <v>5</v>
      </c>
      <c r="G129" s="206" t="s">
        <v>295</v>
      </c>
      <c r="H129" s="206" t="s">
        <v>295</v>
      </c>
      <c r="I129" s="206" t="s">
        <v>295</v>
      </c>
      <c r="J129" s="206">
        <v>5</v>
      </c>
      <c r="K129" s="206">
        <v>5</v>
      </c>
      <c r="L129" s="342"/>
      <c r="S129" s="265" t="s">
        <v>446</v>
      </c>
      <c r="T129" s="266" t="s">
        <v>295</v>
      </c>
      <c r="U129" s="266">
        <v>635</v>
      </c>
      <c r="V129" s="266">
        <f>U129/U133</f>
        <v>0.96358118361153267</v>
      </c>
    </row>
    <row r="130" spans="2:22" ht="15.75" thickBot="1">
      <c r="B130" s="128">
        <v>135</v>
      </c>
      <c r="C130" s="205" t="s">
        <v>447</v>
      </c>
      <c r="D130" s="206" t="s">
        <v>293</v>
      </c>
      <c r="E130" s="206" t="s">
        <v>294</v>
      </c>
      <c r="F130" s="206">
        <v>5</v>
      </c>
      <c r="G130" s="206" t="s">
        <v>295</v>
      </c>
      <c r="H130" s="206" t="s">
        <v>295</v>
      </c>
      <c r="I130" s="206" t="s">
        <v>295</v>
      </c>
      <c r="J130" s="206">
        <v>5</v>
      </c>
      <c r="K130" s="206">
        <v>5</v>
      </c>
      <c r="L130" s="342"/>
      <c r="S130" s="143" t="s">
        <v>448</v>
      </c>
      <c r="T130" s="143" t="s">
        <v>296</v>
      </c>
      <c r="U130" s="143">
        <v>0</v>
      </c>
      <c r="V130" s="143">
        <f>U130/U133</f>
        <v>0</v>
      </c>
    </row>
    <row r="131" spans="2:22">
      <c r="B131" s="125">
        <v>136</v>
      </c>
      <c r="C131" s="205" t="s">
        <v>449</v>
      </c>
      <c r="D131" s="206" t="s">
        <v>293</v>
      </c>
      <c r="E131" s="206" t="s">
        <v>294</v>
      </c>
      <c r="F131" s="206">
        <v>5</v>
      </c>
      <c r="G131" s="206" t="s">
        <v>295</v>
      </c>
      <c r="H131" s="206" t="s">
        <v>295</v>
      </c>
      <c r="I131" s="206" t="s">
        <v>295</v>
      </c>
      <c r="J131" s="206">
        <v>5</v>
      </c>
      <c r="K131" s="206">
        <v>5</v>
      </c>
      <c r="L131" s="342"/>
      <c r="S131" s="266" t="s">
        <v>345</v>
      </c>
      <c r="T131" s="266" t="s">
        <v>179</v>
      </c>
      <c r="U131" s="266">
        <v>24</v>
      </c>
      <c r="V131" s="266">
        <f>U131/U133</f>
        <v>3.6418816388467376E-2</v>
      </c>
    </row>
    <row r="132" spans="2:22">
      <c r="B132" s="128">
        <v>137</v>
      </c>
      <c r="C132" s="205" t="s">
        <v>450</v>
      </c>
      <c r="D132" s="206" t="s">
        <v>293</v>
      </c>
      <c r="E132" s="206" t="s">
        <v>294</v>
      </c>
      <c r="F132" s="206">
        <v>5</v>
      </c>
      <c r="G132" s="206" t="s">
        <v>295</v>
      </c>
      <c r="H132" s="206" t="s">
        <v>295</v>
      </c>
      <c r="I132" s="206" t="s">
        <v>295</v>
      </c>
      <c r="J132" s="206">
        <v>5</v>
      </c>
      <c r="K132" s="206">
        <v>5</v>
      </c>
      <c r="L132" s="342"/>
      <c r="S132" s="144"/>
      <c r="T132" s="144"/>
      <c r="U132" s="144"/>
      <c r="V132" s="144"/>
    </row>
    <row r="133" spans="2:22" ht="15.75" thickBot="1">
      <c r="B133" s="128">
        <v>138</v>
      </c>
      <c r="C133" s="205" t="s">
        <v>451</v>
      </c>
      <c r="D133" s="206" t="s">
        <v>293</v>
      </c>
      <c r="E133" s="206" t="s">
        <v>294</v>
      </c>
      <c r="F133" s="206">
        <v>5</v>
      </c>
      <c r="G133" s="206" t="s">
        <v>295</v>
      </c>
      <c r="H133" s="206" t="s">
        <v>295</v>
      </c>
      <c r="I133" s="206" t="s">
        <v>295</v>
      </c>
      <c r="J133" s="206">
        <v>5</v>
      </c>
      <c r="K133" s="206">
        <v>5</v>
      </c>
      <c r="L133" s="342"/>
      <c r="S133" s="144"/>
      <c r="T133" s="144"/>
      <c r="U133" s="144">
        <v>659</v>
      </c>
      <c r="V133" s="144"/>
    </row>
    <row r="134" spans="2:22">
      <c r="B134" s="125">
        <v>139</v>
      </c>
      <c r="C134" s="205" t="s">
        <v>452</v>
      </c>
      <c r="D134" s="206" t="s">
        <v>293</v>
      </c>
      <c r="E134" s="206" t="s">
        <v>294</v>
      </c>
      <c r="F134" s="206">
        <v>5</v>
      </c>
      <c r="G134" s="206" t="s">
        <v>295</v>
      </c>
      <c r="H134" s="206" t="s">
        <v>295</v>
      </c>
      <c r="I134" s="206" t="s">
        <v>295</v>
      </c>
      <c r="J134" s="206">
        <v>5</v>
      </c>
      <c r="K134" s="206">
        <v>5</v>
      </c>
      <c r="L134" s="342"/>
    </row>
    <row r="135" spans="2:22">
      <c r="B135" s="128">
        <v>140</v>
      </c>
      <c r="C135" s="205" t="s">
        <v>453</v>
      </c>
      <c r="D135" s="206" t="s">
        <v>293</v>
      </c>
      <c r="E135" s="206" t="s">
        <v>294</v>
      </c>
      <c r="F135" s="206">
        <v>4</v>
      </c>
      <c r="G135" s="206" t="s">
        <v>295</v>
      </c>
      <c r="H135" s="206" t="s">
        <v>295</v>
      </c>
      <c r="I135" s="206" t="s">
        <v>295</v>
      </c>
      <c r="J135" s="206">
        <v>5</v>
      </c>
      <c r="K135" s="206">
        <v>5</v>
      </c>
      <c r="L135" s="342"/>
    </row>
    <row r="136" spans="2:22" ht="15.75" thickBot="1">
      <c r="B136" s="128">
        <v>141</v>
      </c>
      <c r="C136" s="205" t="s">
        <v>454</v>
      </c>
      <c r="D136" s="206" t="s">
        <v>293</v>
      </c>
      <c r="E136" s="206" t="s">
        <v>294</v>
      </c>
      <c r="F136" s="206">
        <v>5</v>
      </c>
      <c r="G136" s="206" t="s">
        <v>295</v>
      </c>
      <c r="H136" s="206" t="s">
        <v>295</v>
      </c>
      <c r="I136" s="206" t="s">
        <v>295</v>
      </c>
      <c r="J136" s="206">
        <v>5</v>
      </c>
      <c r="K136" s="206">
        <v>5</v>
      </c>
      <c r="L136" s="342"/>
    </row>
    <row r="137" spans="2:22">
      <c r="B137" s="125">
        <v>142</v>
      </c>
      <c r="C137" s="205" t="s">
        <v>455</v>
      </c>
      <c r="D137" s="206" t="s">
        <v>293</v>
      </c>
      <c r="E137" s="206" t="s">
        <v>294</v>
      </c>
      <c r="F137" s="206">
        <v>5</v>
      </c>
      <c r="G137" s="206" t="s">
        <v>295</v>
      </c>
      <c r="H137" s="206" t="s">
        <v>295</v>
      </c>
      <c r="I137" s="206" t="s">
        <v>295</v>
      </c>
      <c r="J137" s="206">
        <v>5</v>
      </c>
      <c r="K137" s="206">
        <v>5</v>
      </c>
      <c r="L137" s="342"/>
    </row>
    <row r="138" spans="2:22">
      <c r="B138" s="128">
        <v>143</v>
      </c>
      <c r="C138" s="205" t="s">
        <v>456</v>
      </c>
      <c r="D138" s="206" t="s">
        <v>293</v>
      </c>
      <c r="E138" s="206" t="s">
        <v>294</v>
      </c>
      <c r="F138" s="206">
        <v>5</v>
      </c>
      <c r="G138" s="206" t="s">
        <v>295</v>
      </c>
      <c r="H138" s="206" t="s">
        <v>295</v>
      </c>
      <c r="I138" s="206" t="s">
        <v>295</v>
      </c>
      <c r="J138" s="206">
        <v>5</v>
      </c>
      <c r="K138" s="206">
        <v>5</v>
      </c>
      <c r="L138" s="342"/>
    </row>
    <row r="139" spans="2:22" ht="15.75" thickBot="1">
      <c r="B139" s="128">
        <v>144</v>
      </c>
      <c r="C139" s="205" t="s">
        <v>457</v>
      </c>
      <c r="D139" s="206" t="s">
        <v>293</v>
      </c>
      <c r="E139" s="206" t="s">
        <v>294</v>
      </c>
      <c r="F139" s="206">
        <v>5</v>
      </c>
      <c r="G139" s="206" t="s">
        <v>295</v>
      </c>
      <c r="H139" s="206" t="s">
        <v>295</v>
      </c>
      <c r="I139" s="206" t="s">
        <v>295</v>
      </c>
      <c r="J139" s="206">
        <v>5</v>
      </c>
      <c r="K139" s="206">
        <v>5</v>
      </c>
      <c r="L139" s="342"/>
    </row>
    <row r="140" spans="2:22">
      <c r="B140" s="125">
        <v>145</v>
      </c>
      <c r="C140" s="205" t="s">
        <v>458</v>
      </c>
      <c r="D140" s="206" t="s">
        <v>293</v>
      </c>
      <c r="E140" s="206" t="s">
        <v>294</v>
      </c>
      <c r="F140" s="206">
        <v>5</v>
      </c>
      <c r="G140" s="206" t="s">
        <v>295</v>
      </c>
      <c r="H140" s="206" t="s">
        <v>295</v>
      </c>
      <c r="I140" s="206" t="s">
        <v>295</v>
      </c>
      <c r="J140" s="206">
        <v>5</v>
      </c>
      <c r="K140" s="206">
        <v>5</v>
      </c>
      <c r="L140" s="342"/>
    </row>
    <row r="141" spans="2:22">
      <c r="B141" s="128">
        <v>146</v>
      </c>
      <c r="C141" s="205" t="s">
        <v>459</v>
      </c>
      <c r="D141" s="206" t="s">
        <v>293</v>
      </c>
      <c r="E141" s="206" t="s">
        <v>294</v>
      </c>
      <c r="F141" s="206">
        <v>5</v>
      </c>
      <c r="G141" s="206" t="s">
        <v>295</v>
      </c>
      <c r="H141" s="206" t="s">
        <v>295</v>
      </c>
      <c r="I141" s="206" t="s">
        <v>295</v>
      </c>
      <c r="J141" s="206">
        <v>5</v>
      </c>
      <c r="K141" s="206">
        <v>5</v>
      </c>
      <c r="L141" s="342"/>
    </row>
    <row r="142" spans="2:22" ht="15.75" thickBot="1">
      <c r="B142" s="128">
        <v>147</v>
      </c>
      <c r="C142" s="205" t="s">
        <v>460</v>
      </c>
      <c r="D142" s="206" t="s">
        <v>293</v>
      </c>
      <c r="E142" s="206" t="s">
        <v>294</v>
      </c>
      <c r="F142" s="206">
        <v>5</v>
      </c>
      <c r="G142" s="206" t="s">
        <v>295</v>
      </c>
      <c r="H142" s="206" t="s">
        <v>295</v>
      </c>
      <c r="I142" s="206" t="s">
        <v>295</v>
      </c>
      <c r="J142" s="206">
        <v>5</v>
      </c>
      <c r="K142" s="206">
        <v>5</v>
      </c>
      <c r="L142" s="342"/>
    </row>
    <row r="143" spans="2:22">
      <c r="B143" s="125">
        <v>148</v>
      </c>
      <c r="C143" s="205" t="s">
        <v>461</v>
      </c>
      <c r="D143" s="206" t="s">
        <v>293</v>
      </c>
      <c r="E143" s="206" t="s">
        <v>294</v>
      </c>
      <c r="F143" s="206">
        <v>5</v>
      </c>
      <c r="G143" s="206" t="s">
        <v>295</v>
      </c>
      <c r="H143" s="206" t="s">
        <v>295</v>
      </c>
      <c r="I143" s="206" t="s">
        <v>295</v>
      </c>
      <c r="J143" s="206">
        <v>5</v>
      </c>
      <c r="K143" s="206">
        <v>5</v>
      </c>
      <c r="L143" s="342"/>
    </row>
    <row r="144" spans="2:22">
      <c r="B144" s="128">
        <v>149</v>
      </c>
      <c r="C144" s="205" t="s">
        <v>462</v>
      </c>
      <c r="D144" s="206" t="s">
        <v>293</v>
      </c>
      <c r="E144" s="206" t="s">
        <v>294</v>
      </c>
      <c r="F144" s="206">
        <v>5</v>
      </c>
      <c r="G144" s="206" t="s">
        <v>295</v>
      </c>
      <c r="H144" s="206" t="s">
        <v>295</v>
      </c>
      <c r="I144" s="206" t="s">
        <v>295</v>
      </c>
      <c r="J144" s="206">
        <v>5</v>
      </c>
      <c r="K144" s="206">
        <v>5</v>
      </c>
      <c r="L144" s="342"/>
    </row>
    <row r="145" spans="2:18" ht="15.75" thickBot="1">
      <c r="B145" s="128">
        <v>150</v>
      </c>
      <c r="C145" s="205" t="s">
        <v>463</v>
      </c>
      <c r="D145" s="206" t="s">
        <v>293</v>
      </c>
      <c r="E145" s="206" t="s">
        <v>294</v>
      </c>
      <c r="F145" s="206">
        <v>5</v>
      </c>
      <c r="G145" s="206" t="s">
        <v>295</v>
      </c>
      <c r="H145" s="206" t="s">
        <v>295</v>
      </c>
      <c r="I145" s="206" t="s">
        <v>295</v>
      </c>
      <c r="J145" s="206">
        <v>5</v>
      </c>
      <c r="K145" s="206">
        <v>5</v>
      </c>
      <c r="L145" s="342"/>
    </row>
    <row r="146" spans="2:18">
      <c r="B146" s="125">
        <v>151</v>
      </c>
      <c r="C146" s="205" t="s">
        <v>464</v>
      </c>
      <c r="D146" s="206" t="s">
        <v>293</v>
      </c>
      <c r="E146" s="206" t="s">
        <v>294</v>
      </c>
      <c r="F146" s="206">
        <v>5</v>
      </c>
      <c r="G146" s="206" t="s">
        <v>295</v>
      </c>
      <c r="H146" s="206" t="s">
        <v>295</v>
      </c>
      <c r="I146" s="206" t="s">
        <v>295</v>
      </c>
      <c r="J146" s="206">
        <v>5</v>
      </c>
      <c r="K146" s="206">
        <v>5</v>
      </c>
      <c r="L146" s="342"/>
    </row>
    <row r="147" spans="2:18" ht="15.75" thickBot="1">
      <c r="B147" s="128">
        <v>152</v>
      </c>
      <c r="C147" s="207" t="s">
        <v>327</v>
      </c>
      <c r="D147" s="208" t="s">
        <v>293</v>
      </c>
      <c r="E147" s="208" t="s">
        <v>294</v>
      </c>
      <c r="F147" s="208">
        <v>5</v>
      </c>
      <c r="G147" s="208" t="s">
        <v>295</v>
      </c>
      <c r="H147" s="208" t="s">
        <v>295</v>
      </c>
      <c r="I147" s="208" t="s">
        <v>295</v>
      </c>
      <c r="J147" s="208">
        <v>5</v>
      </c>
      <c r="K147" s="208">
        <v>5</v>
      </c>
      <c r="L147" s="346"/>
    </row>
    <row r="148" spans="2:18" ht="15" customHeight="1" thickBot="1">
      <c r="B148" s="128">
        <v>153</v>
      </c>
      <c r="C148" s="209" t="s">
        <v>465</v>
      </c>
      <c r="D148" s="181" t="s">
        <v>293</v>
      </c>
      <c r="E148" s="130" t="s">
        <v>294</v>
      </c>
      <c r="F148" s="130">
        <v>4</v>
      </c>
      <c r="G148" s="130" t="s">
        <v>295</v>
      </c>
      <c r="H148" s="130" t="s">
        <v>295</v>
      </c>
      <c r="I148" s="130" t="s">
        <v>295</v>
      </c>
      <c r="J148" s="130">
        <v>5</v>
      </c>
      <c r="K148" s="130">
        <v>5</v>
      </c>
      <c r="L148" s="338" t="s">
        <v>187</v>
      </c>
    </row>
    <row r="149" spans="2:18">
      <c r="B149" s="125">
        <v>154</v>
      </c>
      <c r="C149" s="192" t="s">
        <v>466</v>
      </c>
      <c r="D149" s="160" t="s">
        <v>293</v>
      </c>
      <c r="E149" s="162" t="s">
        <v>294</v>
      </c>
      <c r="F149" s="162">
        <v>5</v>
      </c>
      <c r="G149" s="162" t="s">
        <v>295</v>
      </c>
      <c r="H149" s="162" t="s">
        <v>295</v>
      </c>
      <c r="I149" s="162" t="s">
        <v>295</v>
      </c>
      <c r="J149" s="162">
        <v>5</v>
      </c>
      <c r="K149" s="162">
        <v>5</v>
      </c>
      <c r="L149" s="339"/>
    </row>
    <row r="150" spans="2:18">
      <c r="B150" s="128">
        <v>155</v>
      </c>
      <c r="C150" s="192" t="s">
        <v>467</v>
      </c>
      <c r="D150" s="160" t="s">
        <v>293</v>
      </c>
      <c r="E150" s="162" t="s">
        <v>294</v>
      </c>
      <c r="F150" s="162">
        <v>4</v>
      </c>
      <c r="G150" s="162" t="s">
        <v>295</v>
      </c>
      <c r="H150" s="162" t="s">
        <v>295</v>
      </c>
      <c r="I150" s="162" t="s">
        <v>295</v>
      </c>
      <c r="J150" s="162">
        <v>5</v>
      </c>
      <c r="K150" s="162">
        <v>5</v>
      </c>
      <c r="L150" s="339"/>
    </row>
    <row r="151" spans="2:18" ht="15.75" thickBot="1">
      <c r="B151" s="128">
        <v>156</v>
      </c>
      <c r="C151" s="194" t="s">
        <v>468</v>
      </c>
      <c r="D151" s="165" t="s">
        <v>293</v>
      </c>
      <c r="E151" s="167" t="s">
        <v>294</v>
      </c>
      <c r="F151" s="167">
        <v>4</v>
      </c>
      <c r="G151" s="167" t="s">
        <v>295</v>
      </c>
      <c r="H151" s="167" t="s">
        <v>295</v>
      </c>
      <c r="I151" s="167" t="s">
        <v>295</v>
      </c>
      <c r="J151" s="167">
        <v>4</v>
      </c>
      <c r="K151" s="167">
        <v>5</v>
      </c>
      <c r="L151" s="339"/>
      <c r="R151" s="24">
        <v>31</v>
      </c>
    </row>
    <row r="152" spans="2:18">
      <c r="B152" s="125">
        <v>157</v>
      </c>
      <c r="C152" s="200" t="s">
        <v>469</v>
      </c>
      <c r="D152" s="201" t="s">
        <v>293</v>
      </c>
      <c r="E152" s="201" t="s">
        <v>294</v>
      </c>
      <c r="F152" s="201">
        <v>4</v>
      </c>
      <c r="G152" s="201" t="s">
        <v>295</v>
      </c>
      <c r="H152" s="201" t="s">
        <v>295</v>
      </c>
      <c r="I152" s="201" t="s">
        <v>295</v>
      </c>
      <c r="J152" s="201">
        <v>5</v>
      </c>
      <c r="K152" s="201">
        <v>5</v>
      </c>
      <c r="L152" s="339"/>
      <c r="R152" s="24">
        <v>2</v>
      </c>
    </row>
    <row r="153" spans="2:18">
      <c r="B153" s="128">
        <v>158</v>
      </c>
      <c r="C153" s="200" t="s">
        <v>470</v>
      </c>
      <c r="D153" s="201" t="s">
        <v>293</v>
      </c>
      <c r="E153" s="201" t="s">
        <v>294</v>
      </c>
      <c r="F153" s="201">
        <v>4</v>
      </c>
      <c r="G153" s="201" t="s">
        <v>295</v>
      </c>
      <c r="H153" s="201" t="s">
        <v>295</v>
      </c>
      <c r="I153" s="201" t="s">
        <v>295</v>
      </c>
      <c r="J153" s="201">
        <v>5</v>
      </c>
      <c r="K153" s="201">
        <v>5</v>
      </c>
      <c r="L153" s="339"/>
    </row>
    <row r="154" spans="2:18" ht="15.75" thickBot="1">
      <c r="B154" s="128">
        <v>159</v>
      </c>
      <c r="C154" s="200" t="s">
        <v>471</v>
      </c>
      <c r="D154" s="201" t="s">
        <v>293</v>
      </c>
      <c r="E154" s="201" t="s">
        <v>294</v>
      </c>
      <c r="F154" s="201">
        <v>5</v>
      </c>
      <c r="G154" s="201" t="s">
        <v>295</v>
      </c>
      <c r="H154" s="201" t="s">
        <v>295</v>
      </c>
      <c r="I154" s="201" t="s">
        <v>295</v>
      </c>
      <c r="J154" s="201">
        <v>5</v>
      </c>
      <c r="K154" s="201">
        <v>5</v>
      </c>
      <c r="L154" s="339"/>
    </row>
    <row r="155" spans="2:18">
      <c r="B155" s="125">
        <v>160</v>
      </c>
      <c r="C155" s="200" t="s">
        <v>472</v>
      </c>
      <c r="D155" s="201" t="s">
        <v>293</v>
      </c>
      <c r="E155" s="201" t="s">
        <v>294</v>
      </c>
      <c r="F155" s="201">
        <v>4</v>
      </c>
      <c r="G155" s="201" t="s">
        <v>295</v>
      </c>
      <c r="H155" s="201" t="s">
        <v>295</v>
      </c>
      <c r="I155" s="201" t="s">
        <v>295</v>
      </c>
      <c r="J155" s="201">
        <v>5</v>
      </c>
      <c r="K155" s="201">
        <v>5</v>
      </c>
      <c r="L155" s="339"/>
    </row>
    <row r="156" spans="2:18">
      <c r="B156" s="128">
        <v>161</v>
      </c>
      <c r="C156" s="200" t="s">
        <v>473</v>
      </c>
      <c r="D156" s="201" t="s">
        <v>293</v>
      </c>
      <c r="E156" s="201" t="s">
        <v>294</v>
      </c>
      <c r="F156" s="201">
        <v>5</v>
      </c>
      <c r="G156" s="201" t="s">
        <v>295</v>
      </c>
      <c r="H156" s="201" t="s">
        <v>295</v>
      </c>
      <c r="I156" s="201" t="s">
        <v>295</v>
      </c>
      <c r="J156" s="201">
        <v>5</v>
      </c>
      <c r="K156" s="201">
        <v>5</v>
      </c>
      <c r="L156" s="339"/>
    </row>
    <row r="157" spans="2:18" ht="15.75" thickBot="1">
      <c r="B157" s="128">
        <v>162</v>
      </c>
      <c r="C157" s="200" t="s">
        <v>474</v>
      </c>
      <c r="D157" s="201" t="s">
        <v>293</v>
      </c>
      <c r="E157" s="201" t="s">
        <v>294</v>
      </c>
      <c r="F157" s="201">
        <v>4</v>
      </c>
      <c r="G157" s="201" t="s">
        <v>295</v>
      </c>
      <c r="H157" s="201" t="s">
        <v>295</v>
      </c>
      <c r="I157" s="201" t="s">
        <v>295</v>
      </c>
      <c r="J157" s="201">
        <v>5</v>
      </c>
      <c r="K157" s="201">
        <v>5</v>
      </c>
      <c r="L157" s="339"/>
    </row>
    <row r="158" spans="2:18">
      <c r="B158" s="125">
        <v>163</v>
      </c>
      <c r="C158" s="200" t="s">
        <v>475</v>
      </c>
      <c r="D158" s="201" t="s">
        <v>293</v>
      </c>
      <c r="E158" s="201" t="s">
        <v>294</v>
      </c>
      <c r="F158" s="201">
        <v>5</v>
      </c>
      <c r="G158" s="201" t="s">
        <v>295</v>
      </c>
      <c r="H158" s="201" t="s">
        <v>295</v>
      </c>
      <c r="I158" s="201" t="s">
        <v>295</v>
      </c>
      <c r="J158" s="201">
        <v>5</v>
      </c>
      <c r="K158" s="201">
        <v>5</v>
      </c>
      <c r="L158" s="339"/>
    </row>
    <row r="159" spans="2:18">
      <c r="B159" s="128">
        <v>164</v>
      </c>
      <c r="C159" s="200" t="s">
        <v>476</v>
      </c>
      <c r="D159" s="201" t="s">
        <v>293</v>
      </c>
      <c r="E159" s="201" t="s">
        <v>294</v>
      </c>
      <c r="F159" s="201">
        <v>5</v>
      </c>
      <c r="G159" s="201" t="s">
        <v>295</v>
      </c>
      <c r="H159" s="201" t="s">
        <v>295</v>
      </c>
      <c r="I159" s="201" t="s">
        <v>295</v>
      </c>
      <c r="J159" s="201">
        <v>5</v>
      </c>
      <c r="K159" s="201">
        <v>5</v>
      </c>
      <c r="L159" s="339"/>
    </row>
    <row r="160" spans="2:18" ht="15.75" thickBot="1">
      <c r="B160" s="128">
        <v>165</v>
      </c>
      <c r="C160" s="200" t="s">
        <v>477</v>
      </c>
      <c r="D160" s="201" t="s">
        <v>293</v>
      </c>
      <c r="E160" s="201" t="s">
        <v>294</v>
      </c>
      <c r="F160" s="201">
        <v>4</v>
      </c>
      <c r="G160" s="201" t="s">
        <v>295</v>
      </c>
      <c r="H160" s="201" t="s">
        <v>295</v>
      </c>
      <c r="I160" s="201" t="s">
        <v>295</v>
      </c>
      <c r="J160" s="201">
        <v>5</v>
      </c>
      <c r="K160" s="201">
        <v>5</v>
      </c>
      <c r="L160" s="339"/>
    </row>
    <row r="161" spans="2:22">
      <c r="B161" s="125">
        <v>166</v>
      </c>
      <c r="C161" s="200" t="s">
        <v>478</v>
      </c>
      <c r="D161" s="201" t="s">
        <v>297</v>
      </c>
      <c r="E161" s="201" t="s">
        <v>179</v>
      </c>
      <c r="F161" s="201" t="s">
        <v>179</v>
      </c>
      <c r="G161" s="201" t="s">
        <v>179</v>
      </c>
      <c r="H161" s="201" t="s">
        <v>179</v>
      </c>
      <c r="I161" s="201" t="s">
        <v>179</v>
      </c>
      <c r="J161" s="201" t="s">
        <v>179</v>
      </c>
      <c r="K161" s="201" t="s">
        <v>179</v>
      </c>
      <c r="L161" s="339"/>
    </row>
    <row r="162" spans="2:22" ht="15" customHeight="1">
      <c r="B162" s="128">
        <v>167</v>
      </c>
      <c r="C162" s="200" t="s">
        <v>479</v>
      </c>
      <c r="D162" s="201" t="s">
        <v>297</v>
      </c>
      <c r="E162" s="201" t="s">
        <v>179</v>
      </c>
      <c r="F162" s="201" t="s">
        <v>179</v>
      </c>
      <c r="G162" s="201" t="s">
        <v>179</v>
      </c>
      <c r="H162" s="201" t="s">
        <v>179</v>
      </c>
      <c r="I162" s="201" t="s">
        <v>179</v>
      </c>
      <c r="J162" s="201" t="s">
        <v>179</v>
      </c>
      <c r="K162" s="201" t="s">
        <v>179</v>
      </c>
      <c r="L162" s="339"/>
    </row>
    <row r="163" spans="2:22" ht="15.75" thickBot="1">
      <c r="B163" s="128">
        <v>168</v>
      </c>
      <c r="C163" s="210" t="s">
        <v>480</v>
      </c>
      <c r="D163" s="140" t="s">
        <v>293</v>
      </c>
      <c r="E163" s="142" t="s">
        <v>294</v>
      </c>
      <c r="F163" s="142">
        <v>5</v>
      </c>
      <c r="G163" s="142" t="s">
        <v>295</v>
      </c>
      <c r="H163" s="142" t="s">
        <v>295</v>
      </c>
      <c r="I163" s="142" t="s">
        <v>295</v>
      </c>
      <c r="J163" s="142">
        <v>5</v>
      </c>
      <c r="K163" s="142">
        <v>5</v>
      </c>
      <c r="L163" s="339"/>
    </row>
    <row r="164" spans="2:22">
      <c r="B164" s="125">
        <v>169</v>
      </c>
      <c r="C164" s="210" t="s">
        <v>481</v>
      </c>
      <c r="D164" s="140" t="s">
        <v>293</v>
      </c>
      <c r="E164" s="142" t="s">
        <v>294</v>
      </c>
      <c r="F164" s="142">
        <v>4</v>
      </c>
      <c r="G164" s="142" t="s">
        <v>295</v>
      </c>
      <c r="H164" s="142" t="s">
        <v>295</v>
      </c>
      <c r="I164" s="142" t="s">
        <v>295</v>
      </c>
      <c r="J164" s="142">
        <v>5</v>
      </c>
      <c r="K164" s="142">
        <v>5</v>
      </c>
      <c r="L164" s="339"/>
    </row>
    <row r="165" spans="2:22">
      <c r="B165" s="128">
        <v>170</v>
      </c>
      <c r="C165" s="210" t="s">
        <v>482</v>
      </c>
      <c r="D165" s="140" t="s">
        <v>293</v>
      </c>
      <c r="E165" s="142" t="s">
        <v>294</v>
      </c>
      <c r="F165" s="142">
        <v>5</v>
      </c>
      <c r="G165" s="142" t="s">
        <v>295</v>
      </c>
      <c r="H165" s="142" t="s">
        <v>295</v>
      </c>
      <c r="I165" s="142" t="s">
        <v>295</v>
      </c>
      <c r="J165" s="142">
        <v>5</v>
      </c>
      <c r="K165" s="142">
        <v>5</v>
      </c>
      <c r="L165" s="339"/>
    </row>
    <row r="166" spans="2:22" ht="15.75" thickBot="1">
      <c r="B166" s="128">
        <v>171</v>
      </c>
      <c r="C166" s="210" t="s">
        <v>483</v>
      </c>
      <c r="D166" s="140" t="s">
        <v>293</v>
      </c>
      <c r="E166" s="142" t="s">
        <v>294</v>
      </c>
      <c r="F166" s="142">
        <v>4</v>
      </c>
      <c r="G166" s="142" t="s">
        <v>295</v>
      </c>
      <c r="H166" s="142" t="s">
        <v>295</v>
      </c>
      <c r="I166" s="142" t="s">
        <v>295</v>
      </c>
      <c r="J166" s="142">
        <v>5</v>
      </c>
      <c r="K166" s="142">
        <v>5</v>
      </c>
      <c r="L166" s="339"/>
    </row>
    <row r="167" spans="2:22">
      <c r="B167" s="125">
        <v>172</v>
      </c>
      <c r="C167" s="210" t="s">
        <v>484</v>
      </c>
      <c r="D167" s="140" t="s">
        <v>293</v>
      </c>
      <c r="E167" s="142" t="s">
        <v>294</v>
      </c>
      <c r="F167" s="142">
        <v>5</v>
      </c>
      <c r="G167" s="142" t="s">
        <v>295</v>
      </c>
      <c r="H167" s="142" t="s">
        <v>295</v>
      </c>
      <c r="I167" s="142" t="s">
        <v>295</v>
      </c>
      <c r="J167" s="142">
        <v>5</v>
      </c>
      <c r="K167" s="142">
        <v>5</v>
      </c>
      <c r="L167" s="339"/>
    </row>
    <row r="168" spans="2:22">
      <c r="B168" s="128">
        <v>173</v>
      </c>
      <c r="C168" s="211" t="s">
        <v>485</v>
      </c>
      <c r="D168" s="147" t="s">
        <v>293</v>
      </c>
      <c r="E168" s="149" t="s">
        <v>294</v>
      </c>
      <c r="F168" s="149">
        <v>5</v>
      </c>
      <c r="G168" s="149" t="s">
        <v>295</v>
      </c>
      <c r="H168" s="149" t="s">
        <v>295</v>
      </c>
      <c r="I168" s="149" t="s">
        <v>295</v>
      </c>
      <c r="J168" s="149">
        <v>5</v>
      </c>
      <c r="K168" s="149">
        <v>5</v>
      </c>
      <c r="L168" s="339"/>
    </row>
    <row r="169" spans="2:22" ht="15.75" customHeight="1" thickBot="1">
      <c r="B169" s="128">
        <v>174</v>
      </c>
      <c r="C169" s="205" t="s">
        <v>486</v>
      </c>
      <c r="D169" s="206" t="s">
        <v>293</v>
      </c>
      <c r="E169" s="206" t="s">
        <v>294</v>
      </c>
      <c r="F169" s="206">
        <v>4</v>
      </c>
      <c r="G169" s="206" t="s">
        <v>296</v>
      </c>
      <c r="H169" s="206" t="s">
        <v>295</v>
      </c>
      <c r="I169" s="206" t="s">
        <v>295</v>
      </c>
      <c r="J169" s="206">
        <v>4</v>
      </c>
      <c r="K169" s="206">
        <v>3</v>
      </c>
      <c r="L169" s="340"/>
      <c r="R169" s="24" t="s">
        <v>487</v>
      </c>
      <c r="S169" s="341" t="s">
        <v>488</v>
      </c>
      <c r="T169" s="335"/>
      <c r="U169" s="335"/>
      <c r="V169" s="335"/>
    </row>
    <row r="170" spans="2:22" ht="15.75" customHeight="1">
      <c r="B170" s="125">
        <v>175</v>
      </c>
      <c r="C170" s="197" t="s">
        <v>489</v>
      </c>
      <c r="D170" s="212" t="s">
        <v>293</v>
      </c>
      <c r="E170" s="212" t="s">
        <v>294</v>
      </c>
      <c r="F170" s="212">
        <v>5</v>
      </c>
      <c r="G170" s="212" t="s">
        <v>295</v>
      </c>
      <c r="H170" s="212" t="s">
        <v>295</v>
      </c>
      <c r="I170" s="212" t="s">
        <v>295</v>
      </c>
      <c r="J170" s="212">
        <v>5</v>
      </c>
      <c r="K170" s="212">
        <v>5</v>
      </c>
      <c r="L170" s="338" t="s">
        <v>236</v>
      </c>
      <c r="S170" s="265" t="s">
        <v>446</v>
      </c>
      <c r="T170" s="266" t="s">
        <v>295</v>
      </c>
      <c r="U170" s="266">
        <v>635</v>
      </c>
      <c r="V170" s="266">
        <f>U170/U174</f>
        <v>0.96358118361153267</v>
      </c>
    </row>
    <row r="171" spans="2:22">
      <c r="B171" s="128">
        <v>176</v>
      </c>
      <c r="C171" s="198" t="s">
        <v>490</v>
      </c>
      <c r="D171" s="213" t="s">
        <v>293</v>
      </c>
      <c r="E171" s="213" t="s">
        <v>294</v>
      </c>
      <c r="F171" s="213">
        <v>5</v>
      </c>
      <c r="G171" s="213" t="s">
        <v>295</v>
      </c>
      <c r="H171" s="213" t="s">
        <v>295</v>
      </c>
      <c r="I171" s="213" t="s">
        <v>295</v>
      </c>
      <c r="J171" s="213">
        <v>5</v>
      </c>
      <c r="K171" s="213">
        <v>5</v>
      </c>
      <c r="L171" s="339"/>
      <c r="S171" s="266" t="s">
        <v>345</v>
      </c>
      <c r="T171" s="143" t="s">
        <v>179</v>
      </c>
      <c r="U171" s="143">
        <v>24</v>
      </c>
      <c r="V171" s="143">
        <f>U171/U174</f>
        <v>3.6418816388467376E-2</v>
      </c>
    </row>
    <row r="172" spans="2:22" ht="15.75" thickBot="1">
      <c r="B172" s="128">
        <v>177</v>
      </c>
      <c r="C172" s="198" t="s">
        <v>491</v>
      </c>
      <c r="D172" s="213" t="s">
        <v>293</v>
      </c>
      <c r="E172" s="213" t="s">
        <v>294</v>
      </c>
      <c r="F172" s="213">
        <v>4</v>
      </c>
      <c r="G172" s="213" t="s">
        <v>296</v>
      </c>
      <c r="H172" s="213" t="s">
        <v>295</v>
      </c>
      <c r="I172" s="213" t="s">
        <v>295</v>
      </c>
      <c r="J172" s="213">
        <v>4</v>
      </c>
      <c r="K172" s="213">
        <v>5</v>
      </c>
      <c r="L172" s="339"/>
      <c r="S172" s="266" t="s">
        <v>492</v>
      </c>
      <c r="T172" s="266" t="s">
        <v>296</v>
      </c>
      <c r="U172" s="266">
        <v>0</v>
      </c>
      <c r="V172" s="266">
        <f>U172/U174</f>
        <v>0</v>
      </c>
    </row>
    <row r="173" spans="2:22">
      <c r="B173" s="125">
        <v>178</v>
      </c>
      <c r="C173" s="198" t="s">
        <v>493</v>
      </c>
      <c r="D173" s="213" t="s">
        <v>293</v>
      </c>
      <c r="E173" s="213" t="s">
        <v>294</v>
      </c>
      <c r="F173" s="213">
        <v>5</v>
      </c>
      <c r="G173" s="213" t="s">
        <v>295</v>
      </c>
      <c r="H173" s="213" t="s">
        <v>295</v>
      </c>
      <c r="I173" s="213" t="s">
        <v>295</v>
      </c>
      <c r="J173" s="213">
        <v>5</v>
      </c>
      <c r="K173" s="213">
        <v>5</v>
      </c>
      <c r="L173" s="339"/>
      <c r="S173" s="144"/>
      <c r="T173" s="144"/>
      <c r="U173" s="144"/>
      <c r="V173" s="144"/>
    </row>
    <row r="174" spans="2:22">
      <c r="B174" s="128">
        <v>179</v>
      </c>
      <c r="C174" s="198" t="s">
        <v>494</v>
      </c>
      <c r="D174" s="213" t="s">
        <v>293</v>
      </c>
      <c r="E174" s="213" t="s">
        <v>294</v>
      </c>
      <c r="F174" s="213">
        <v>5</v>
      </c>
      <c r="G174" s="213" t="s">
        <v>296</v>
      </c>
      <c r="H174" s="213" t="s">
        <v>295</v>
      </c>
      <c r="I174" s="213" t="s">
        <v>295</v>
      </c>
      <c r="J174" s="213">
        <v>5</v>
      </c>
      <c r="K174" s="213">
        <v>5</v>
      </c>
      <c r="L174" s="339"/>
      <c r="S174" s="144"/>
      <c r="T174" s="144"/>
      <c r="U174" s="144">
        <v>659</v>
      </c>
      <c r="V174" s="144"/>
    </row>
    <row r="175" spans="2:22" ht="15.75" thickBot="1">
      <c r="B175" s="128">
        <v>180</v>
      </c>
      <c r="C175" s="198" t="s">
        <v>495</v>
      </c>
      <c r="D175" s="213" t="s">
        <v>293</v>
      </c>
      <c r="E175" s="213" t="s">
        <v>294</v>
      </c>
      <c r="F175" s="213">
        <v>5</v>
      </c>
      <c r="G175" s="213" t="s">
        <v>295</v>
      </c>
      <c r="H175" s="213" t="s">
        <v>295</v>
      </c>
      <c r="I175" s="213" t="s">
        <v>295</v>
      </c>
      <c r="J175" s="213">
        <v>5</v>
      </c>
      <c r="K175" s="213">
        <v>5</v>
      </c>
      <c r="L175" s="339"/>
      <c r="S175" s="144"/>
      <c r="T175" s="144"/>
      <c r="U175" s="144"/>
      <c r="V175" s="144"/>
    </row>
    <row r="176" spans="2:22">
      <c r="B176" s="125">
        <v>181</v>
      </c>
      <c r="C176" s="198" t="s">
        <v>496</v>
      </c>
      <c r="D176" s="213" t="s">
        <v>293</v>
      </c>
      <c r="E176" s="213" t="s">
        <v>294</v>
      </c>
      <c r="F176" s="213">
        <v>5</v>
      </c>
      <c r="G176" s="213" t="s">
        <v>295</v>
      </c>
      <c r="H176" s="213" t="s">
        <v>295</v>
      </c>
      <c r="I176" s="213" t="s">
        <v>295</v>
      </c>
      <c r="J176" s="213">
        <v>5</v>
      </c>
      <c r="K176" s="213">
        <v>5</v>
      </c>
      <c r="L176" s="339"/>
    </row>
    <row r="177" spans="2:19">
      <c r="B177" s="128">
        <v>182</v>
      </c>
      <c r="C177" s="198" t="s">
        <v>497</v>
      </c>
      <c r="D177" s="213" t="s">
        <v>293</v>
      </c>
      <c r="E177" s="213" t="s">
        <v>294</v>
      </c>
      <c r="F177" s="213">
        <v>5</v>
      </c>
      <c r="G177" s="213" t="s">
        <v>295</v>
      </c>
      <c r="H177" s="213" t="s">
        <v>295</v>
      </c>
      <c r="I177" s="213" t="s">
        <v>295</v>
      </c>
      <c r="J177" s="213">
        <v>5</v>
      </c>
      <c r="K177" s="213">
        <v>5</v>
      </c>
      <c r="L177" s="339"/>
    </row>
    <row r="178" spans="2:19" ht="15.75" thickBot="1">
      <c r="B178" s="128">
        <v>183</v>
      </c>
      <c r="C178" s="198" t="s">
        <v>498</v>
      </c>
      <c r="D178" s="213" t="s">
        <v>293</v>
      </c>
      <c r="E178" s="213" t="s">
        <v>294</v>
      </c>
      <c r="F178" s="213">
        <v>5</v>
      </c>
      <c r="G178" s="213" t="s">
        <v>295</v>
      </c>
      <c r="H178" s="213" t="s">
        <v>295</v>
      </c>
      <c r="I178" s="213" t="s">
        <v>295</v>
      </c>
      <c r="J178" s="213">
        <v>5</v>
      </c>
      <c r="K178" s="213">
        <v>5</v>
      </c>
      <c r="L178" s="339"/>
    </row>
    <row r="179" spans="2:19">
      <c r="B179" s="125">
        <v>184</v>
      </c>
      <c r="C179" s="198" t="s">
        <v>499</v>
      </c>
      <c r="D179" s="213" t="s">
        <v>293</v>
      </c>
      <c r="E179" s="213" t="s">
        <v>294</v>
      </c>
      <c r="F179" s="213">
        <v>4</v>
      </c>
      <c r="G179" s="213" t="s">
        <v>295</v>
      </c>
      <c r="H179" s="213" t="s">
        <v>295</v>
      </c>
      <c r="I179" s="213" t="s">
        <v>295</v>
      </c>
      <c r="J179" s="213">
        <v>4</v>
      </c>
      <c r="K179" s="213">
        <v>4</v>
      </c>
      <c r="L179" s="339"/>
    </row>
    <row r="180" spans="2:19">
      <c r="B180" s="128">
        <v>185</v>
      </c>
      <c r="C180" s="198" t="s">
        <v>500</v>
      </c>
      <c r="D180" s="213" t="s">
        <v>293</v>
      </c>
      <c r="E180" s="213" t="s">
        <v>294</v>
      </c>
      <c r="F180" s="213">
        <v>3</v>
      </c>
      <c r="G180" s="213" t="s">
        <v>295</v>
      </c>
      <c r="H180" s="213" t="s">
        <v>296</v>
      </c>
      <c r="I180" s="213" t="s">
        <v>295</v>
      </c>
      <c r="J180" s="213">
        <v>4</v>
      </c>
      <c r="K180" s="213">
        <v>4</v>
      </c>
      <c r="L180" s="339"/>
      <c r="R180" s="24" t="s">
        <v>179</v>
      </c>
      <c r="S180" s="24">
        <v>3</v>
      </c>
    </row>
    <row r="181" spans="2:19" ht="15.75" thickBot="1">
      <c r="B181" s="128">
        <v>186</v>
      </c>
      <c r="C181" s="198" t="s">
        <v>501</v>
      </c>
      <c r="D181" s="214" t="s">
        <v>293</v>
      </c>
      <c r="E181" s="214" t="s">
        <v>294</v>
      </c>
      <c r="F181" s="214">
        <v>5</v>
      </c>
      <c r="G181" s="214" t="s">
        <v>296</v>
      </c>
      <c r="H181" s="214" t="s">
        <v>295</v>
      </c>
      <c r="I181" s="214" t="s">
        <v>295</v>
      </c>
      <c r="J181" s="214">
        <v>5</v>
      </c>
      <c r="K181" s="214">
        <v>5</v>
      </c>
      <c r="L181" s="339"/>
    </row>
    <row r="182" spans="2:19">
      <c r="B182" s="125">
        <v>187</v>
      </c>
      <c r="C182" s="200" t="s">
        <v>502</v>
      </c>
      <c r="D182" s="215" t="s">
        <v>293</v>
      </c>
      <c r="E182" s="215" t="s">
        <v>294</v>
      </c>
      <c r="F182" s="215">
        <v>5</v>
      </c>
      <c r="G182" s="215" t="s">
        <v>295</v>
      </c>
      <c r="H182" s="215" t="s">
        <v>295</v>
      </c>
      <c r="I182" s="215" t="s">
        <v>295</v>
      </c>
      <c r="J182" s="215">
        <v>5</v>
      </c>
      <c r="K182" s="215">
        <v>5</v>
      </c>
      <c r="L182" s="342"/>
    </row>
    <row r="183" spans="2:19">
      <c r="B183" s="128">
        <v>188</v>
      </c>
      <c r="C183" s="200" t="s">
        <v>503</v>
      </c>
      <c r="D183" s="215" t="s">
        <v>293</v>
      </c>
      <c r="E183" s="215" t="s">
        <v>294</v>
      </c>
      <c r="F183" s="215">
        <v>5</v>
      </c>
      <c r="G183" s="215" t="s">
        <v>296</v>
      </c>
      <c r="H183" s="215" t="s">
        <v>295</v>
      </c>
      <c r="I183" s="215" t="s">
        <v>295</v>
      </c>
      <c r="J183" s="215">
        <v>5</v>
      </c>
      <c r="K183" s="215">
        <v>5</v>
      </c>
      <c r="L183" s="342"/>
    </row>
    <row r="184" spans="2:19" ht="15.75" thickBot="1">
      <c r="B184" s="128">
        <v>189</v>
      </c>
      <c r="C184" s="200" t="s">
        <v>504</v>
      </c>
      <c r="D184" s="215" t="s">
        <v>293</v>
      </c>
      <c r="E184" s="215" t="s">
        <v>294</v>
      </c>
      <c r="F184" s="215">
        <v>5</v>
      </c>
      <c r="G184" s="215" t="s">
        <v>295</v>
      </c>
      <c r="H184" s="215" t="s">
        <v>295</v>
      </c>
      <c r="I184" s="215" t="s">
        <v>295</v>
      </c>
      <c r="J184" s="215">
        <v>5</v>
      </c>
      <c r="K184" s="215">
        <v>5</v>
      </c>
      <c r="L184" s="342"/>
    </row>
    <row r="185" spans="2:19">
      <c r="B185" s="125">
        <v>190</v>
      </c>
      <c r="C185" s="200" t="s">
        <v>505</v>
      </c>
      <c r="D185" s="215" t="s">
        <v>293</v>
      </c>
      <c r="E185" s="215" t="s">
        <v>294</v>
      </c>
      <c r="F185" s="215">
        <v>5</v>
      </c>
      <c r="G185" s="215" t="s">
        <v>295</v>
      </c>
      <c r="H185" s="215" t="s">
        <v>295</v>
      </c>
      <c r="I185" s="215" t="s">
        <v>295</v>
      </c>
      <c r="J185" s="215">
        <v>5</v>
      </c>
      <c r="K185" s="215">
        <v>5</v>
      </c>
      <c r="L185" s="342"/>
    </row>
    <row r="186" spans="2:19">
      <c r="B186" s="128">
        <v>191</v>
      </c>
      <c r="C186" s="200" t="s">
        <v>491</v>
      </c>
      <c r="D186" s="215" t="s">
        <v>293</v>
      </c>
      <c r="E186" s="215" t="s">
        <v>294</v>
      </c>
      <c r="F186" s="215">
        <v>5</v>
      </c>
      <c r="G186" s="215" t="s">
        <v>295</v>
      </c>
      <c r="H186" s="215" t="s">
        <v>295</v>
      </c>
      <c r="I186" s="215" t="s">
        <v>295</v>
      </c>
      <c r="J186" s="215">
        <v>5</v>
      </c>
      <c r="K186" s="215">
        <v>5</v>
      </c>
      <c r="L186" s="342"/>
    </row>
    <row r="187" spans="2:19" ht="15.75" thickBot="1">
      <c r="B187" s="128">
        <v>192</v>
      </c>
      <c r="C187" s="200" t="s">
        <v>506</v>
      </c>
      <c r="D187" s="215" t="s">
        <v>293</v>
      </c>
      <c r="E187" s="215" t="s">
        <v>294</v>
      </c>
      <c r="F187" s="215">
        <v>5</v>
      </c>
      <c r="G187" s="215" t="s">
        <v>296</v>
      </c>
      <c r="H187" s="215" t="s">
        <v>295</v>
      </c>
      <c r="I187" s="215" t="s">
        <v>295</v>
      </c>
      <c r="J187" s="215">
        <v>5</v>
      </c>
      <c r="K187" s="215">
        <v>5</v>
      </c>
      <c r="L187" s="342"/>
    </row>
    <row r="188" spans="2:19">
      <c r="B188" s="125">
        <v>193</v>
      </c>
      <c r="C188" s="210" t="s">
        <v>507</v>
      </c>
      <c r="D188" s="216" t="s">
        <v>293</v>
      </c>
      <c r="E188" s="216" t="s">
        <v>294</v>
      </c>
      <c r="F188" s="216">
        <v>5</v>
      </c>
      <c r="G188" s="216" t="s">
        <v>295</v>
      </c>
      <c r="H188" s="216" t="s">
        <v>295</v>
      </c>
      <c r="I188" s="216" t="s">
        <v>295</v>
      </c>
      <c r="J188" s="216">
        <v>5</v>
      </c>
      <c r="K188" s="216">
        <v>5</v>
      </c>
      <c r="L188" s="339"/>
    </row>
    <row r="189" spans="2:19">
      <c r="B189" s="128">
        <v>194</v>
      </c>
      <c r="C189" s="210" t="s">
        <v>508</v>
      </c>
      <c r="D189" s="217" t="s">
        <v>293</v>
      </c>
      <c r="E189" s="217" t="s">
        <v>294</v>
      </c>
      <c r="F189" s="217">
        <v>5</v>
      </c>
      <c r="G189" s="217" t="s">
        <v>295</v>
      </c>
      <c r="H189" s="217" t="s">
        <v>295</v>
      </c>
      <c r="I189" s="217" t="s">
        <v>295</v>
      </c>
      <c r="J189" s="217">
        <v>5</v>
      </c>
      <c r="K189" s="217">
        <v>5</v>
      </c>
      <c r="L189" s="339"/>
    </row>
    <row r="190" spans="2:19" ht="15.75" thickBot="1">
      <c r="B190" s="128">
        <v>195</v>
      </c>
      <c r="C190" s="210" t="s">
        <v>509</v>
      </c>
      <c r="D190" s="217" t="s">
        <v>293</v>
      </c>
      <c r="E190" s="217" t="s">
        <v>294</v>
      </c>
      <c r="F190" s="217">
        <v>5</v>
      </c>
      <c r="G190" s="217" t="s">
        <v>295</v>
      </c>
      <c r="H190" s="217" t="s">
        <v>295</v>
      </c>
      <c r="I190" s="217" t="s">
        <v>295</v>
      </c>
      <c r="J190" s="217">
        <v>5</v>
      </c>
      <c r="K190" s="217">
        <v>5</v>
      </c>
      <c r="L190" s="339"/>
    </row>
    <row r="191" spans="2:19">
      <c r="B191" s="125">
        <v>196</v>
      </c>
      <c r="C191" s="210" t="s">
        <v>510</v>
      </c>
      <c r="D191" s="217" t="s">
        <v>293</v>
      </c>
      <c r="E191" s="217" t="s">
        <v>294</v>
      </c>
      <c r="F191" s="217">
        <v>5</v>
      </c>
      <c r="G191" s="217" t="s">
        <v>295</v>
      </c>
      <c r="H191" s="217" t="s">
        <v>295</v>
      </c>
      <c r="I191" s="217" t="s">
        <v>295</v>
      </c>
      <c r="J191" s="217">
        <v>5</v>
      </c>
      <c r="K191" s="217">
        <v>5</v>
      </c>
      <c r="L191" s="339"/>
    </row>
    <row r="192" spans="2:19">
      <c r="B192" s="128">
        <v>197</v>
      </c>
      <c r="C192" s="210" t="s">
        <v>511</v>
      </c>
      <c r="D192" s="217" t="s">
        <v>293</v>
      </c>
      <c r="E192" s="217" t="s">
        <v>294</v>
      </c>
      <c r="F192" s="217">
        <v>4</v>
      </c>
      <c r="G192" s="217" t="s">
        <v>296</v>
      </c>
      <c r="H192" s="217" t="s">
        <v>295</v>
      </c>
      <c r="I192" s="217" t="s">
        <v>295</v>
      </c>
      <c r="J192" s="217">
        <v>5</v>
      </c>
      <c r="K192" s="217">
        <v>5</v>
      </c>
      <c r="L192" s="339"/>
    </row>
    <row r="193" spans="2:12" ht="15.75" thickBot="1">
      <c r="B193" s="128">
        <v>198</v>
      </c>
      <c r="C193" s="210" t="s">
        <v>512</v>
      </c>
      <c r="D193" s="217" t="s">
        <v>293</v>
      </c>
      <c r="E193" s="217" t="s">
        <v>294</v>
      </c>
      <c r="F193" s="217">
        <v>5</v>
      </c>
      <c r="G193" s="217" t="s">
        <v>296</v>
      </c>
      <c r="H193" s="217" t="s">
        <v>295</v>
      </c>
      <c r="I193" s="217" t="s">
        <v>296</v>
      </c>
      <c r="J193" s="217">
        <v>5</v>
      </c>
      <c r="K193" s="217">
        <v>5</v>
      </c>
      <c r="L193" s="339"/>
    </row>
    <row r="194" spans="2:12">
      <c r="B194" s="125">
        <v>199</v>
      </c>
      <c r="C194" s="210" t="s">
        <v>513</v>
      </c>
      <c r="D194" s="217" t="s">
        <v>293</v>
      </c>
      <c r="E194" s="217" t="s">
        <v>294</v>
      </c>
      <c r="F194" s="217">
        <v>4</v>
      </c>
      <c r="G194" s="217" t="s">
        <v>295</v>
      </c>
      <c r="H194" s="217" t="s">
        <v>295</v>
      </c>
      <c r="I194" s="217" t="s">
        <v>296</v>
      </c>
      <c r="J194" s="217">
        <v>5</v>
      </c>
      <c r="K194" s="217">
        <v>4</v>
      </c>
      <c r="L194" s="339"/>
    </row>
    <row r="195" spans="2:12">
      <c r="B195" s="128">
        <v>200</v>
      </c>
      <c r="C195" s="210" t="s">
        <v>514</v>
      </c>
      <c r="D195" s="217" t="s">
        <v>293</v>
      </c>
      <c r="E195" s="217" t="s">
        <v>294</v>
      </c>
      <c r="F195" s="217">
        <v>5</v>
      </c>
      <c r="G195" s="217" t="s">
        <v>295</v>
      </c>
      <c r="H195" s="217" t="s">
        <v>295</v>
      </c>
      <c r="I195" s="217" t="s">
        <v>295</v>
      </c>
      <c r="J195" s="217">
        <v>5</v>
      </c>
      <c r="K195" s="217">
        <v>5</v>
      </c>
      <c r="L195" s="339"/>
    </row>
    <row r="196" spans="2:12" ht="15.75" thickBot="1">
      <c r="B196" s="128">
        <v>201</v>
      </c>
      <c r="C196" s="210" t="s">
        <v>515</v>
      </c>
      <c r="D196" s="217" t="s">
        <v>293</v>
      </c>
      <c r="E196" s="217" t="s">
        <v>294</v>
      </c>
      <c r="F196" s="217">
        <v>5</v>
      </c>
      <c r="G196" s="217" t="s">
        <v>296</v>
      </c>
      <c r="H196" s="217" t="s">
        <v>295</v>
      </c>
      <c r="I196" s="217" t="s">
        <v>296</v>
      </c>
      <c r="J196" s="217">
        <v>5</v>
      </c>
      <c r="K196" s="217">
        <v>5</v>
      </c>
      <c r="L196" s="339"/>
    </row>
    <row r="197" spans="2:12">
      <c r="B197" s="125">
        <v>202</v>
      </c>
      <c r="C197" s="210" t="s">
        <v>516</v>
      </c>
      <c r="D197" s="217" t="s">
        <v>293</v>
      </c>
      <c r="E197" s="217" t="s">
        <v>294</v>
      </c>
      <c r="F197" s="217">
        <v>5</v>
      </c>
      <c r="G197" s="217" t="s">
        <v>295</v>
      </c>
      <c r="H197" s="217" t="s">
        <v>295</v>
      </c>
      <c r="I197" s="217" t="s">
        <v>295</v>
      </c>
      <c r="J197" s="217">
        <v>5</v>
      </c>
      <c r="K197" s="217">
        <v>5</v>
      </c>
      <c r="L197" s="339"/>
    </row>
    <row r="198" spans="2:12">
      <c r="B198" s="128">
        <v>203</v>
      </c>
      <c r="C198" s="210" t="s">
        <v>517</v>
      </c>
      <c r="D198" s="217" t="s">
        <v>293</v>
      </c>
      <c r="E198" s="217" t="s">
        <v>294</v>
      </c>
      <c r="F198" s="217">
        <v>5</v>
      </c>
      <c r="G198" s="217" t="s">
        <v>295</v>
      </c>
      <c r="H198" s="217" t="s">
        <v>295</v>
      </c>
      <c r="I198" s="217" t="s">
        <v>295</v>
      </c>
      <c r="J198" s="217">
        <v>5</v>
      </c>
      <c r="K198" s="217">
        <v>5</v>
      </c>
      <c r="L198" s="339"/>
    </row>
    <row r="199" spans="2:12" ht="15.75" thickBot="1">
      <c r="B199" s="128">
        <v>204</v>
      </c>
      <c r="C199" s="210" t="s">
        <v>518</v>
      </c>
      <c r="D199" s="217" t="s">
        <v>293</v>
      </c>
      <c r="E199" s="217" t="s">
        <v>294</v>
      </c>
      <c r="F199" s="217">
        <v>4</v>
      </c>
      <c r="G199" s="217" t="s">
        <v>295</v>
      </c>
      <c r="H199" s="217" t="s">
        <v>295</v>
      </c>
      <c r="I199" s="217" t="s">
        <v>295</v>
      </c>
      <c r="J199" s="217">
        <v>5</v>
      </c>
      <c r="K199" s="217">
        <v>5</v>
      </c>
      <c r="L199" s="339"/>
    </row>
    <row r="200" spans="2:12">
      <c r="B200" s="125">
        <v>205</v>
      </c>
      <c r="C200" s="210" t="s">
        <v>519</v>
      </c>
      <c r="D200" s="217" t="s">
        <v>293</v>
      </c>
      <c r="E200" s="217" t="s">
        <v>294</v>
      </c>
      <c r="F200" s="217">
        <v>4</v>
      </c>
      <c r="G200" s="217" t="s">
        <v>295</v>
      </c>
      <c r="H200" s="217" t="s">
        <v>295</v>
      </c>
      <c r="I200" s="217" t="s">
        <v>295</v>
      </c>
      <c r="J200" s="217">
        <v>5</v>
      </c>
      <c r="K200" s="217">
        <v>5</v>
      </c>
      <c r="L200" s="339"/>
    </row>
    <row r="201" spans="2:12">
      <c r="B201" s="128">
        <v>206</v>
      </c>
      <c r="C201" s="210" t="s">
        <v>520</v>
      </c>
      <c r="D201" s="217" t="s">
        <v>357</v>
      </c>
      <c r="E201" s="217" t="s">
        <v>294</v>
      </c>
      <c r="F201" s="217">
        <v>5</v>
      </c>
      <c r="G201" s="217" t="s">
        <v>295</v>
      </c>
      <c r="H201" s="217" t="s">
        <v>295</v>
      </c>
      <c r="I201" s="217" t="s">
        <v>295</v>
      </c>
      <c r="J201" s="217">
        <v>5</v>
      </c>
      <c r="K201" s="217">
        <v>5</v>
      </c>
      <c r="L201" s="339"/>
    </row>
    <row r="202" spans="2:12" ht="15.75" thickBot="1">
      <c r="B202" s="128">
        <v>207</v>
      </c>
      <c r="C202" s="211" t="s">
        <v>521</v>
      </c>
      <c r="D202" s="218" t="s">
        <v>293</v>
      </c>
      <c r="E202" s="218" t="s">
        <v>294</v>
      </c>
      <c r="F202" s="218">
        <v>5</v>
      </c>
      <c r="G202" s="218" t="s">
        <v>295</v>
      </c>
      <c r="H202" s="218" t="s">
        <v>295</v>
      </c>
      <c r="I202" s="218" t="s">
        <v>295</v>
      </c>
      <c r="J202" s="218">
        <v>5</v>
      </c>
      <c r="K202" s="218">
        <v>5</v>
      </c>
      <c r="L202" s="339"/>
    </row>
    <row r="203" spans="2:12">
      <c r="B203" s="125">
        <v>208</v>
      </c>
      <c r="C203" s="211" t="s">
        <v>522</v>
      </c>
      <c r="D203" s="218" t="s">
        <v>293</v>
      </c>
      <c r="E203" s="218" t="s">
        <v>294</v>
      </c>
      <c r="F203" s="218">
        <v>5</v>
      </c>
      <c r="G203" s="218" t="s">
        <v>296</v>
      </c>
      <c r="H203" s="218" t="s">
        <v>295</v>
      </c>
      <c r="I203" s="218" t="s">
        <v>295</v>
      </c>
      <c r="J203" s="218">
        <v>5</v>
      </c>
      <c r="K203" s="218">
        <v>5</v>
      </c>
      <c r="L203" s="339"/>
    </row>
    <row r="204" spans="2:12">
      <c r="B204" s="128">
        <v>209</v>
      </c>
      <c r="C204" s="211" t="s">
        <v>523</v>
      </c>
      <c r="D204" s="218" t="s">
        <v>293</v>
      </c>
      <c r="E204" s="218" t="s">
        <v>294</v>
      </c>
      <c r="F204" s="218">
        <v>5</v>
      </c>
      <c r="G204" s="218" t="s">
        <v>296</v>
      </c>
      <c r="H204" s="218" t="s">
        <v>295</v>
      </c>
      <c r="I204" s="218" t="s">
        <v>295</v>
      </c>
      <c r="J204" s="218">
        <v>5</v>
      </c>
      <c r="K204" s="218">
        <v>5</v>
      </c>
      <c r="L204" s="339"/>
    </row>
    <row r="205" spans="2:12" ht="15.75" thickBot="1">
      <c r="B205" s="128">
        <v>210</v>
      </c>
      <c r="C205" s="211" t="s">
        <v>524</v>
      </c>
      <c r="D205" s="218" t="s">
        <v>293</v>
      </c>
      <c r="E205" s="218" t="s">
        <v>294</v>
      </c>
      <c r="F205" s="218">
        <v>5</v>
      </c>
      <c r="G205" s="218" t="s">
        <v>295</v>
      </c>
      <c r="H205" s="218" t="s">
        <v>295</v>
      </c>
      <c r="I205" s="218" t="s">
        <v>295</v>
      </c>
      <c r="J205" s="218">
        <v>5</v>
      </c>
      <c r="K205" s="218">
        <v>5</v>
      </c>
      <c r="L205" s="339"/>
    </row>
    <row r="206" spans="2:12">
      <c r="B206" s="125">
        <v>211</v>
      </c>
      <c r="C206" s="211" t="s">
        <v>525</v>
      </c>
      <c r="D206" s="218" t="s">
        <v>293</v>
      </c>
      <c r="E206" s="218" t="s">
        <v>294</v>
      </c>
      <c r="F206" s="218">
        <v>5</v>
      </c>
      <c r="G206" s="218" t="s">
        <v>295</v>
      </c>
      <c r="H206" s="218" t="s">
        <v>295</v>
      </c>
      <c r="I206" s="218" t="s">
        <v>295</v>
      </c>
      <c r="J206" s="218">
        <v>5</v>
      </c>
      <c r="K206" s="218">
        <v>5</v>
      </c>
      <c r="L206" s="339"/>
    </row>
    <row r="207" spans="2:12">
      <c r="B207" s="128">
        <v>212</v>
      </c>
      <c r="C207" s="211" t="s">
        <v>526</v>
      </c>
      <c r="D207" s="218" t="s">
        <v>293</v>
      </c>
      <c r="E207" s="218" t="s">
        <v>294</v>
      </c>
      <c r="F207" s="218">
        <v>5</v>
      </c>
      <c r="G207" s="218" t="s">
        <v>295</v>
      </c>
      <c r="H207" s="218" t="s">
        <v>295</v>
      </c>
      <c r="I207" s="218" t="s">
        <v>295</v>
      </c>
      <c r="J207" s="218">
        <v>5</v>
      </c>
      <c r="K207" s="218">
        <v>5</v>
      </c>
      <c r="L207" s="339"/>
    </row>
    <row r="208" spans="2:12" ht="15.75" thickBot="1">
      <c r="B208" s="128">
        <v>213</v>
      </c>
      <c r="C208" s="211" t="s">
        <v>527</v>
      </c>
      <c r="D208" s="218" t="s">
        <v>293</v>
      </c>
      <c r="E208" s="218" t="s">
        <v>294</v>
      </c>
      <c r="F208" s="218">
        <v>5</v>
      </c>
      <c r="G208" s="218" t="s">
        <v>295</v>
      </c>
      <c r="H208" s="218" t="s">
        <v>295</v>
      </c>
      <c r="I208" s="218" t="s">
        <v>296</v>
      </c>
      <c r="J208" s="218">
        <v>5</v>
      </c>
      <c r="K208" s="218">
        <v>5</v>
      </c>
      <c r="L208" s="339"/>
    </row>
    <row r="209" spans="2:23">
      <c r="B209" s="125">
        <v>214</v>
      </c>
      <c r="C209" s="211" t="s">
        <v>528</v>
      </c>
      <c r="D209" s="218" t="s">
        <v>293</v>
      </c>
      <c r="E209" s="218" t="s">
        <v>294</v>
      </c>
      <c r="F209" s="218">
        <v>5</v>
      </c>
      <c r="G209" s="218" t="s">
        <v>295</v>
      </c>
      <c r="H209" s="218" t="s">
        <v>295</v>
      </c>
      <c r="I209" s="218" t="s">
        <v>295</v>
      </c>
      <c r="J209" s="218">
        <v>5</v>
      </c>
      <c r="K209" s="218">
        <v>5</v>
      </c>
      <c r="L209" s="339"/>
    </row>
    <row r="210" spans="2:23">
      <c r="B210" s="128">
        <v>215</v>
      </c>
      <c r="C210" s="211" t="s">
        <v>529</v>
      </c>
      <c r="D210" s="218" t="s">
        <v>293</v>
      </c>
      <c r="E210" s="218" t="s">
        <v>294</v>
      </c>
      <c r="F210" s="218">
        <v>5</v>
      </c>
      <c r="G210" s="218" t="s">
        <v>295</v>
      </c>
      <c r="H210" s="218" t="s">
        <v>295</v>
      </c>
      <c r="I210" s="218" t="s">
        <v>295</v>
      </c>
      <c r="J210" s="218">
        <v>5</v>
      </c>
      <c r="K210" s="218">
        <v>5</v>
      </c>
      <c r="L210" s="339"/>
    </row>
    <row r="211" spans="2:23" ht="15.75" thickBot="1">
      <c r="B211" s="128">
        <v>216</v>
      </c>
      <c r="C211" s="211" t="s">
        <v>530</v>
      </c>
      <c r="D211" s="218" t="s">
        <v>293</v>
      </c>
      <c r="E211" s="218" t="s">
        <v>294</v>
      </c>
      <c r="F211" s="218">
        <v>5</v>
      </c>
      <c r="G211" s="218" t="s">
        <v>295</v>
      </c>
      <c r="H211" s="218" t="s">
        <v>295</v>
      </c>
      <c r="I211" s="218" t="s">
        <v>295</v>
      </c>
      <c r="J211" s="218">
        <v>5</v>
      </c>
      <c r="K211" s="218">
        <v>5</v>
      </c>
      <c r="L211" s="339"/>
    </row>
    <row r="212" spans="2:23">
      <c r="B212" s="125">
        <v>217</v>
      </c>
      <c r="C212" s="211" t="s">
        <v>531</v>
      </c>
      <c r="D212" s="218" t="s">
        <v>293</v>
      </c>
      <c r="E212" s="218" t="s">
        <v>294</v>
      </c>
      <c r="F212" s="218">
        <v>4</v>
      </c>
      <c r="G212" s="218" t="s">
        <v>296</v>
      </c>
      <c r="H212" s="218" t="s">
        <v>295</v>
      </c>
      <c r="I212" s="218" t="s">
        <v>295</v>
      </c>
      <c r="J212" s="218">
        <v>5</v>
      </c>
      <c r="K212" s="218">
        <v>5</v>
      </c>
      <c r="L212" s="339"/>
    </row>
    <row r="213" spans="2:23" ht="15.75" thickBot="1">
      <c r="B213" s="128">
        <v>218</v>
      </c>
      <c r="C213" s="219" t="s">
        <v>532</v>
      </c>
      <c r="D213" s="220" t="s">
        <v>293</v>
      </c>
      <c r="E213" s="220" t="s">
        <v>294</v>
      </c>
      <c r="F213" s="220">
        <v>5</v>
      </c>
      <c r="G213" s="220" t="s">
        <v>295</v>
      </c>
      <c r="H213" s="220" t="s">
        <v>295</v>
      </c>
      <c r="I213" s="220" t="s">
        <v>295</v>
      </c>
      <c r="J213" s="220">
        <v>5</v>
      </c>
      <c r="K213" s="220">
        <v>5</v>
      </c>
      <c r="L213" s="339"/>
    </row>
    <row r="214" spans="2:23" ht="15.75" thickBot="1">
      <c r="B214" s="128">
        <v>219</v>
      </c>
      <c r="C214" s="221" t="s">
        <v>533</v>
      </c>
      <c r="D214" s="222" t="s">
        <v>293</v>
      </c>
      <c r="E214" s="223" t="s">
        <v>294</v>
      </c>
      <c r="F214" s="223">
        <v>5</v>
      </c>
      <c r="G214" s="222" t="s">
        <v>295</v>
      </c>
      <c r="H214" s="222" t="s">
        <v>295</v>
      </c>
      <c r="I214" s="222" t="s">
        <v>295</v>
      </c>
      <c r="J214" s="222">
        <v>5</v>
      </c>
      <c r="K214" s="222">
        <v>5</v>
      </c>
      <c r="L214" s="343" t="s">
        <v>534</v>
      </c>
    </row>
    <row r="215" spans="2:23">
      <c r="B215" s="125">
        <v>220</v>
      </c>
      <c r="C215" s="168" t="s">
        <v>535</v>
      </c>
      <c r="D215" s="215" t="s">
        <v>293</v>
      </c>
      <c r="E215" s="215" t="s">
        <v>294</v>
      </c>
      <c r="F215" s="215">
        <v>5</v>
      </c>
      <c r="G215" s="215" t="s">
        <v>295</v>
      </c>
      <c r="H215" s="215" t="s">
        <v>295</v>
      </c>
      <c r="I215" s="215" t="s">
        <v>295</v>
      </c>
      <c r="J215" s="215">
        <v>5</v>
      </c>
      <c r="K215" s="215">
        <v>5</v>
      </c>
      <c r="L215" s="344"/>
    </row>
    <row r="216" spans="2:23">
      <c r="B216" s="128">
        <v>221</v>
      </c>
      <c r="C216" s="168" t="s">
        <v>536</v>
      </c>
      <c r="D216" s="215" t="s">
        <v>293</v>
      </c>
      <c r="E216" s="215" t="s">
        <v>294</v>
      </c>
      <c r="F216" s="215">
        <v>5</v>
      </c>
      <c r="G216" s="215" t="s">
        <v>296</v>
      </c>
      <c r="H216" s="215" t="s">
        <v>295</v>
      </c>
      <c r="I216" s="215" t="s">
        <v>295</v>
      </c>
      <c r="J216" s="215">
        <v>5</v>
      </c>
      <c r="K216" s="215">
        <v>5</v>
      </c>
      <c r="L216" s="344"/>
    </row>
    <row r="217" spans="2:23" ht="15.75" thickBot="1">
      <c r="B217" s="128">
        <v>222</v>
      </c>
      <c r="C217" s="168" t="s">
        <v>537</v>
      </c>
      <c r="D217" s="215" t="s">
        <v>293</v>
      </c>
      <c r="E217" s="215" t="s">
        <v>294</v>
      </c>
      <c r="F217" s="215">
        <v>5</v>
      </c>
      <c r="G217" s="215" t="s">
        <v>295</v>
      </c>
      <c r="H217" s="215" t="s">
        <v>295</v>
      </c>
      <c r="I217" s="215" t="s">
        <v>295</v>
      </c>
      <c r="J217" s="215">
        <v>5</v>
      </c>
      <c r="K217" s="215">
        <v>5</v>
      </c>
      <c r="L217" s="344"/>
      <c r="R217" s="24" t="s">
        <v>443</v>
      </c>
      <c r="S217" s="341" t="s">
        <v>643</v>
      </c>
      <c r="T217" s="335"/>
      <c r="U217" s="335"/>
      <c r="V217" s="335"/>
    </row>
    <row r="218" spans="2:23">
      <c r="B218" s="125">
        <v>223</v>
      </c>
      <c r="C218" s="168" t="s">
        <v>539</v>
      </c>
      <c r="D218" s="215" t="s">
        <v>293</v>
      </c>
      <c r="E218" s="215" t="s">
        <v>294</v>
      </c>
      <c r="F218" s="215">
        <v>5</v>
      </c>
      <c r="G218" s="215" t="s">
        <v>295</v>
      </c>
      <c r="H218" s="215" t="s">
        <v>295</v>
      </c>
      <c r="I218" s="215" t="s">
        <v>295</v>
      </c>
      <c r="J218" s="215">
        <v>5</v>
      </c>
      <c r="K218" s="215">
        <v>5</v>
      </c>
      <c r="L218" s="344"/>
      <c r="S218" s="265" t="s">
        <v>540</v>
      </c>
      <c r="T218" s="266" t="s">
        <v>295</v>
      </c>
      <c r="U218" s="266">
        <v>620</v>
      </c>
      <c r="V218" s="266">
        <f>U218/U222</f>
        <v>0.94081942336874047</v>
      </c>
    </row>
    <row r="219" spans="2:23">
      <c r="B219" s="128">
        <v>224</v>
      </c>
      <c r="C219" s="224" t="s">
        <v>541</v>
      </c>
      <c r="D219" s="225" t="s">
        <v>293</v>
      </c>
      <c r="E219" s="142" t="s">
        <v>294</v>
      </c>
      <c r="F219" s="142">
        <v>5</v>
      </c>
      <c r="G219" s="225" t="s">
        <v>295</v>
      </c>
      <c r="H219" s="225" t="s">
        <v>295</v>
      </c>
      <c r="I219" s="225" t="s">
        <v>295</v>
      </c>
      <c r="J219" s="225">
        <v>5</v>
      </c>
      <c r="K219" s="225">
        <v>5</v>
      </c>
      <c r="L219" s="344"/>
      <c r="S219" s="143" t="s">
        <v>542</v>
      </c>
      <c r="T219" s="143" t="s">
        <v>296</v>
      </c>
      <c r="U219" s="143">
        <v>15</v>
      </c>
      <c r="V219" s="143">
        <f>U219/U222</f>
        <v>2.2761760242792108E-2</v>
      </c>
      <c r="W219" s="144"/>
    </row>
    <row r="220" spans="2:23" ht="15.75" thickBot="1">
      <c r="B220" s="128">
        <v>225</v>
      </c>
      <c r="C220" s="224" t="s">
        <v>543</v>
      </c>
      <c r="D220" s="225" t="s">
        <v>320</v>
      </c>
      <c r="E220" s="142" t="s">
        <v>294</v>
      </c>
      <c r="F220" s="142">
        <v>5</v>
      </c>
      <c r="G220" s="225" t="s">
        <v>295</v>
      </c>
      <c r="H220" s="225" t="s">
        <v>295</v>
      </c>
      <c r="I220" s="225" t="s">
        <v>295</v>
      </c>
      <c r="J220" s="225">
        <v>5</v>
      </c>
      <c r="K220" s="225">
        <v>5</v>
      </c>
      <c r="L220" s="344"/>
      <c r="S220" s="266" t="s">
        <v>345</v>
      </c>
      <c r="T220" s="266" t="s">
        <v>179</v>
      </c>
      <c r="U220" s="266">
        <v>24</v>
      </c>
      <c r="V220" s="266">
        <f>U220/U222</f>
        <v>3.6418816388467376E-2</v>
      </c>
      <c r="W220" s="144"/>
    </row>
    <row r="221" spans="2:23">
      <c r="B221" s="125">
        <v>226</v>
      </c>
      <c r="C221" s="224" t="s">
        <v>544</v>
      </c>
      <c r="D221" s="225" t="s">
        <v>293</v>
      </c>
      <c r="E221" s="142" t="s">
        <v>294</v>
      </c>
      <c r="F221" s="142">
        <v>5</v>
      </c>
      <c r="G221" s="225" t="s">
        <v>295</v>
      </c>
      <c r="H221" s="225" t="s">
        <v>295</v>
      </c>
      <c r="I221" s="225" t="s">
        <v>295</v>
      </c>
      <c r="J221" s="225">
        <v>5</v>
      </c>
      <c r="K221" s="225">
        <v>5</v>
      </c>
      <c r="L221" s="344"/>
      <c r="S221" s="144"/>
      <c r="T221" s="144"/>
      <c r="U221" s="144"/>
      <c r="V221" s="144"/>
      <c r="W221" s="144"/>
    </row>
    <row r="222" spans="2:23">
      <c r="B222" s="128">
        <v>227</v>
      </c>
      <c r="C222" s="226" t="s">
        <v>545</v>
      </c>
      <c r="D222" s="218" t="s">
        <v>293</v>
      </c>
      <c r="E222" s="227" t="s">
        <v>294</v>
      </c>
      <c r="F222" s="227">
        <v>5</v>
      </c>
      <c r="G222" s="218" t="s">
        <v>295</v>
      </c>
      <c r="H222" s="218" t="s">
        <v>295</v>
      </c>
      <c r="I222" s="218" t="s">
        <v>295</v>
      </c>
      <c r="J222" s="218">
        <v>5</v>
      </c>
      <c r="K222" s="218">
        <v>5</v>
      </c>
      <c r="L222" s="344"/>
      <c r="S222" s="144"/>
      <c r="T222" s="144"/>
      <c r="U222" s="144">
        <v>659</v>
      </c>
      <c r="V222" s="144"/>
      <c r="W222" s="144"/>
    </row>
    <row r="223" spans="2:23" ht="15.75" thickBot="1">
      <c r="B223" s="128">
        <v>228</v>
      </c>
      <c r="C223" s="226" t="s">
        <v>546</v>
      </c>
      <c r="D223" s="218" t="s">
        <v>320</v>
      </c>
      <c r="E223" s="227" t="s">
        <v>294</v>
      </c>
      <c r="F223" s="227">
        <v>5</v>
      </c>
      <c r="G223" s="218" t="s">
        <v>295</v>
      </c>
      <c r="H223" s="218" t="s">
        <v>295</v>
      </c>
      <c r="I223" s="218" t="s">
        <v>295</v>
      </c>
      <c r="J223" s="218">
        <v>5</v>
      </c>
      <c r="K223" s="218">
        <v>5</v>
      </c>
      <c r="L223" s="344"/>
      <c r="S223" s="144"/>
      <c r="T223" s="144"/>
      <c r="U223" s="144"/>
      <c r="V223" s="144"/>
      <c r="W223" s="144"/>
    </row>
    <row r="224" spans="2:23" ht="15.75" thickBot="1">
      <c r="B224" s="125">
        <v>229</v>
      </c>
      <c r="C224" s="228" t="s">
        <v>547</v>
      </c>
      <c r="D224" s="220" t="s">
        <v>293</v>
      </c>
      <c r="E224" s="227" t="s">
        <v>294</v>
      </c>
      <c r="F224" s="227">
        <v>5</v>
      </c>
      <c r="G224" s="218" t="s">
        <v>295</v>
      </c>
      <c r="H224" s="218" t="s">
        <v>295</v>
      </c>
      <c r="I224" s="218" t="s">
        <v>295</v>
      </c>
      <c r="J224" s="218">
        <v>5</v>
      </c>
      <c r="K224" s="218">
        <v>5</v>
      </c>
      <c r="L224" s="345"/>
    </row>
    <row r="225" spans="2:12" ht="15" customHeight="1">
      <c r="B225" s="128">
        <v>230</v>
      </c>
      <c r="C225" s="221" t="s">
        <v>548</v>
      </c>
      <c r="D225" s="223" t="s">
        <v>293</v>
      </c>
      <c r="E225" s="229" t="s">
        <v>294</v>
      </c>
      <c r="F225" s="229">
        <v>5</v>
      </c>
      <c r="G225" s="229" t="s">
        <v>295</v>
      </c>
      <c r="H225" s="229" t="s">
        <v>295</v>
      </c>
      <c r="I225" s="229" t="s">
        <v>295</v>
      </c>
      <c r="J225" s="229">
        <v>5</v>
      </c>
      <c r="K225" s="229">
        <v>5</v>
      </c>
      <c r="L225" s="333" t="s">
        <v>237</v>
      </c>
    </row>
    <row r="226" spans="2:12" ht="15.75" thickBot="1">
      <c r="B226" s="128">
        <v>231</v>
      </c>
      <c r="C226" s="163" t="s">
        <v>549</v>
      </c>
      <c r="D226" s="230" t="s">
        <v>293</v>
      </c>
      <c r="E226" s="230" t="s">
        <v>294</v>
      </c>
      <c r="F226" s="230">
        <v>5</v>
      </c>
      <c r="G226" s="230" t="s">
        <v>295</v>
      </c>
      <c r="H226" s="230" t="s">
        <v>295</v>
      </c>
      <c r="I226" s="230" t="s">
        <v>295</v>
      </c>
      <c r="J226" s="230">
        <v>5</v>
      </c>
      <c r="K226" s="230">
        <v>5</v>
      </c>
      <c r="L226" s="333"/>
    </row>
    <row r="227" spans="2:12">
      <c r="B227" s="125">
        <v>232</v>
      </c>
      <c r="C227" s="163" t="s">
        <v>550</v>
      </c>
      <c r="D227" s="230" t="s">
        <v>293</v>
      </c>
      <c r="E227" s="230" t="s">
        <v>294</v>
      </c>
      <c r="F227" s="230">
        <v>5</v>
      </c>
      <c r="G227" s="230" t="s">
        <v>295</v>
      </c>
      <c r="H227" s="230" t="s">
        <v>295</v>
      </c>
      <c r="I227" s="230" t="s">
        <v>295</v>
      </c>
      <c r="J227" s="230">
        <v>5</v>
      </c>
      <c r="K227" s="230">
        <v>5</v>
      </c>
      <c r="L227" s="333"/>
    </row>
    <row r="228" spans="2:12">
      <c r="B228" s="128">
        <v>233</v>
      </c>
      <c r="C228" s="163" t="s">
        <v>551</v>
      </c>
      <c r="D228" s="230" t="s">
        <v>293</v>
      </c>
      <c r="E228" s="230" t="s">
        <v>294</v>
      </c>
      <c r="F228" s="230">
        <v>5</v>
      </c>
      <c r="G228" s="230" t="s">
        <v>295</v>
      </c>
      <c r="H228" s="230" t="s">
        <v>295</v>
      </c>
      <c r="I228" s="230" t="s">
        <v>295</v>
      </c>
      <c r="J228" s="230">
        <v>5</v>
      </c>
      <c r="K228" s="230">
        <v>5</v>
      </c>
      <c r="L228" s="333"/>
    </row>
    <row r="229" spans="2:12" ht="15" customHeight="1" thickBot="1">
      <c r="B229" s="128">
        <v>234</v>
      </c>
      <c r="C229" s="164" t="s">
        <v>552</v>
      </c>
      <c r="D229" s="231" t="s">
        <v>293</v>
      </c>
      <c r="E229" s="231" t="s">
        <v>294</v>
      </c>
      <c r="F229" s="231">
        <v>5</v>
      </c>
      <c r="G229" s="231" t="s">
        <v>295</v>
      </c>
      <c r="H229" s="231" t="s">
        <v>295</v>
      </c>
      <c r="I229" s="231" t="s">
        <v>295</v>
      </c>
      <c r="J229" s="231">
        <v>5</v>
      </c>
      <c r="K229" s="231">
        <v>5</v>
      </c>
      <c r="L229" s="333"/>
    </row>
    <row r="230" spans="2:12" ht="15" customHeight="1">
      <c r="B230" s="125">
        <v>235</v>
      </c>
      <c r="C230" s="169" t="s">
        <v>553</v>
      </c>
      <c r="D230" s="232" t="s">
        <v>293</v>
      </c>
      <c r="E230" s="232" t="s">
        <v>294</v>
      </c>
      <c r="F230" s="232">
        <v>5</v>
      </c>
      <c r="G230" s="232" t="s">
        <v>295</v>
      </c>
      <c r="H230" s="232" t="s">
        <v>295</v>
      </c>
      <c r="I230" s="232" t="s">
        <v>295</v>
      </c>
      <c r="J230" s="232">
        <v>5</v>
      </c>
      <c r="K230" s="232">
        <v>5</v>
      </c>
      <c r="L230" s="333"/>
    </row>
    <row r="231" spans="2:12" ht="15" customHeight="1">
      <c r="B231" s="128">
        <v>236</v>
      </c>
      <c r="C231" s="169" t="s">
        <v>554</v>
      </c>
      <c r="D231" s="232" t="s">
        <v>293</v>
      </c>
      <c r="E231" s="232" t="s">
        <v>294</v>
      </c>
      <c r="F231" s="232">
        <v>5</v>
      </c>
      <c r="G231" s="232" t="s">
        <v>295</v>
      </c>
      <c r="H231" s="232" t="s">
        <v>295</v>
      </c>
      <c r="I231" s="232" t="s">
        <v>295</v>
      </c>
      <c r="J231" s="232">
        <v>5</v>
      </c>
      <c r="K231" s="232">
        <v>5</v>
      </c>
      <c r="L231" s="333"/>
    </row>
    <row r="232" spans="2:12" ht="15" customHeight="1" thickBot="1">
      <c r="B232" s="128">
        <v>237</v>
      </c>
      <c r="C232" s="169" t="s">
        <v>555</v>
      </c>
      <c r="D232" s="232" t="s">
        <v>293</v>
      </c>
      <c r="E232" s="232" t="s">
        <v>294</v>
      </c>
      <c r="F232" s="232">
        <v>5</v>
      </c>
      <c r="G232" s="232" t="s">
        <v>295</v>
      </c>
      <c r="H232" s="232" t="s">
        <v>295</v>
      </c>
      <c r="I232" s="232" t="s">
        <v>295</v>
      </c>
      <c r="J232" s="232">
        <v>5</v>
      </c>
      <c r="K232" s="232">
        <v>5</v>
      </c>
      <c r="L232" s="333"/>
    </row>
    <row r="233" spans="2:12" ht="15" customHeight="1">
      <c r="B233" s="125">
        <v>238</v>
      </c>
      <c r="C233" s="169" t="s">
        <v>556</v>
      </c>
      <c r="D233" s="232" t="s">
        <v>293</v>
      </c>
      <c r="E233" s="232" t="s">
        <v>294</v>
      </c>
      <c r="F233" s="232">
        <v>5</v>
      </c>
      <c r="G233" s="232" t="s">
        <v>295</v>
      </c>
      <c r="H233" s="232" t="s">
        <v>295</v>
      </c>
      <c r="I233" s="232" t="s">
        <v>295</v>
      </c>
      <c r="J233" s="232">
        <v>5</v>
      </c>
      <c r="K233" s="232">
        <v>5</v>
      </c>
      <c r="L233" s="333"/>
    </row>
    <row r="234" spans="2:12" ht="15" customHeight="1">
      <c r="B234" s="128">
        <v>239</v>
      </c>
      <c r="C234" s="169" t="s">
        <v>557</v>
      </c>
      <c r="D234" s="232" t="s">
        <v>293</v>
      </c>
      <c r="E234" s="232" t="s">
        <v>294</v>
      </c>
      <c r="F234" s="232">
        <v>5</v>
      </c>
      <c r="G234" s="232" t="s">
        <v>295</v>
      </c>
      <c r="H234" s="232" t="s">
        <v>295</v>
      </c>
      <c r="I234" s="232" t="s">
        <v>295</v>
      </c>
      <c r="J234" s="232">
        <v>5</v>
      </c>
      <c r="K234" s="232">
        <v>5</v>
      </c>
      <c r="L234" s="333"/>
    </row>
    <row r="235" spans="2:12" ht="15" customHeight="1" thickBot="1">
      <c r="B235" s="128">
        <v>240</v>
      </c>
      <c r="C235" s="233" t="s">
        <v>558</v>
      </c>
      <c r="D235" s="234" t="s">
        <v>293</v>
      </c>
      <c r="E235" s="234" t="s">
        <v>294</v>
      </c>
      <c r="F235" s="234">
        <v>5</v>
      </c>
      <c r="G235" s="234" t="s">
        <v>295</v>
      </c>
      <c r="H235" s="234" t="s">
        <v>295</v>
      </c>
      <c r="I235" s="234" t="s">
        <v>295</v>
      </c>
      <c r="J235" s="234">
        <v>5</v>
      </c>
      <c r="K235" s="234">
        <v>5</v>
      </c>
      <c r="L235" s="333"/>
    </row>
    <row r="236" spans="2:12" ht="15" customHeight="1">
      <c r="B236" s="125">
        <v>241</v>
      </c>
      <c r="C236" s="233" t="s">
        <v>559</v>
      </c>
      <c r="D236" s="234" t="s">
        <v>293</v>
      </c>
      <c r="E236" s="234" t="s">
        <v>294</v>
      </c>
      <c r="F236" s="234">
        <v>5</v>
      </c>
      <c r="G236" s="234" t="s">
        <v>295</v>
      </c>
      <c r="H236" s="234" t="s">
        <v>295</v>
      </c>
      <c r="I236" s="234" t="s">
        <v>295</v>
      </c>
      <c r="J236" s="234">
        <v>5</v>
      </c>
      <c r="K236" s="234">
        <v>5</v>
      </c>
      <c r="L236" s="333"/>
    </row>
    <row r="237" spans="2:12" ht="15" customHeight="1">
      <c r="B237" s="128">
        <v>242</v>
      </c>
      <c r="C237" s="233" t="s">
        <v>560</v>
      </c>
      <c r="D237" s="234" t="s">
        <v>293</v>
      </c>
      <c r="E237" s="234" t="s">
        <v>294</v>
      </c>
      <c r="F237" s="234">
        <v>5</v>
      </c>
      <c r="G237" s="234" t="s">
        <v>295</v>
      </c>
      <c r="H237" s="234" t="s">
        <v>295</v>
      </c>
      <c r="I237" s="234" t="s">
        <v>295</v>
      </c>
      <c r="J237" s="234">
        <v>5</v>
      </c>
      <c r="K237" s="234">
        <v>5</v>
      </c>
      <c r="L237" s="333"/>
    </row>
    <row r="238" spans="2:12" ht="15" customHeight="1" thickBot="1">
      <c r="B238" s="128">
        <v>243</v>
      </c>
      <c r="C238" s="233" t="s">
        <v>561</v>
      </c>
      <c r="D238" s="234" t="s">
        <v>293</v>
      </c>
      <c r="E238" s="234" t="s">
        <v>294</v>
      </c>
      <c r="F238" s="234">
        <v>5</v>
      </c>
      <c r="G238" s="234" t="s">
        <v>295</v>
      </c>
      <c r="H238" s="234" t="s">
        <v>295</v>
      </c>
      <c r="I238" s="234" t="s">
        <v>295</v>
      </c>
      <c r="J238" s="234">
        <v>5</v>
      </c>
      <c r="K238" s="234">
        <v>5</v>
      </c>
      <c r="L238" s="333"/>
    </row>
    <row r="239" spans="2:12" ht="15" customHeight="1">
      <c r="B239" s="125">
        <v>244</v>
      </c>
      <c r="C239" s="233" t="s">
        <v>562</v>
      </c>
      <c r="D239" s="234" t="s">
        <v>293</v>
      </c>
      <c r="E239" s="234" t="s">
        <v>294</v>
      </c>
      <c r="F239" s="234">
        <v>5</v>
      </c>
      <c r="G239" s="234" t="s">
        <v>295</v>
      </c>
      <c r="H239" s="234" t="s">
        <v>295</v>
      </c>
      <c r="I239" s="234" t="s">
        <v>295</v>
      </c>
      <c r="J239" s="234">
        <v>5</v>
      </c>
      <c r="K239" s="234">
        <v>5</v>
      </c>
      <c r="L239" s="333"/>
    </row>
    <row r="240" spans="2:12" ht="15" customHeight="1">
      <c r="B240" s="128">
        <v>245</v>
      </c>
      <c r="C240" s="233" t="s">
        <v>563</v>
      </c>
      <c r="D240" s="234" t="s">
        <v>293</v>
      </c>
      <c r="E240" s="234" t="s">
        <v>294</v>
      </c>
      <c r="F240" s="234">
        <v>5</v>
      </c>
      <c r="G240" s="234" t="s">
        <v>295</v>
      </c>
      <c r="H240" s="234" t="s">
        <v>295</v>
      </c>
      <c r="I240" s="234" t="s">
        <v>295</v>
      </c>
      <c r="J240" s="234">
        <v>5</v>
      </c>
      <c r="K240" s="234">
        <v>5</v>
      </c>
      <c r="L240" s="333"/>
    </row>
    <row r="241" spans="2:12" ht="15" customHeight="1" thickBot="1">
      <c r="B241" s="128">
        <v>246</v>
      </c>
      <c r="C241" s="235" t="s">
        <v>564</v>
      </c>
      <c r="D241" s="236" t="s">
        <v>293</v>
      </c>
      <c r="E241" s="236" t="s">
        <v>294</v>
      </c>
      <c r="F241" s="236">
        <v>5</v>
      </c>
      <c r="G241" s="236" t="s">
        <v>295</v>
      </c>
      <c r="H241" s="236" t="s">
        <v>295</v>
      </c>
      <c r="I241" s="236" t="s">
        <v>295</v>
      </c>
      <c r="J241" s="236">
        <v>5</v>
      </c>
      <c r="K241" s="236">
        <v>5</v>
      </c>
      <c r="L241" s="333"/>
    </row>
    <row r="242" spans="2:12" ht="15" customHeight="1">
      <c r="B242" s="125">
        <v>247</v>
      </c>
      <c r="C242" s="235" t="s">
        <v>565</v>
      </c>
      <c r="D242" s="236" t="s">
        <v>293</v>
      </c>
      <c r="E242" s="236" t="s">
        <v>294</v>
      </c>
      <c r="F242" s="236">
        <v>5</v>
      </c>
      <c r="G242" s="236" t="s">
        <v>295</v>
      </c>
      <c r="H242" s="236" t="s">
        <v>295</v>
      </c>
      <c r="I242" s="236" t="s">
        <v>295</v>
      </c>
      <c r="J242" s="236">
        <v>5</v>
      </c>
      <c r="K242" s="236">
        <v>5</v>
      </c>
      <c r="L242" s="333"/>
    </row>
    <row r="243" spans="2:12" ht="15" customHeight="1">
      <c r="B243" s="128">
        <v>248</v>
      </c>
      <c r="C243" s="235" t="s">
        <v>566</v>
      </c>
      <c r="D243" s="236" t="s">
        <v>293</v>
      </c>
      <c r="E243" s="236" t="s">
        <v>294</v>
      </c>
      <c r="F243" s="236">
        <v>5</v>
      </c>
      <c r="G243" s="236" t="s">
        <v>295</v>
      </c>
      <c r="H243" s="236" t="s">
        <v>295</v>
      </c>
      <c r="I243" s="236" t="s">
        <v>295</v>
      </c>
      <c r="J243" s="236">
        <v>5</v>
      </c>
      <c r="K243" s="236">
        <v>5</v>
      </c>
      <c r="L243" s="333"/>
    </row>
    <row r="244" spans="2:12" ht="15" customHeight="1" thickBot="1">
      <c r="B244" s="128">
        <v>249</v>
      </c>
      <c r="C244" s="235" t="s">
        <v>567</v>
      </c>
      <c r="D244" s="236" t="s">
        <v>293</v>
      </c>
      <c r="E244" s="236" t="s">
        <v>294</v>
      </c>
      <c r="F244" s="236">
        <v>5</v>
      </c>
      <c r="G244" s="236" t="s">
        <v>295</v>
      </c>
      <c r="H244" s="236" t="s">
        <v>295</v>
      </c>
      <c r="I244" s="236" t="s">
        <v>295</v>
      </c>
      <c r="J244" s="236">
        <v>5</v>
      </c>
      <c r="K244" s="236">
        <v>5</v>
      </c>
      <c r="L244" s="333"/>
    </row>
    <row r="245" spans="2:12" ht="15" customHeight="1">
      <c r="B245" s="125">
        <v>250</v>
      </c>
      <c r="C245" s="235" t="s">
        <v>568</v>
      </c>
      <c r="D245" s="236" t="s">
        <v>293</v>
      </c>
      <c r="E245" s="236" t="s">
        <v>294</v>
      </c>
      <c r="F245" s="236">
        <v>5</v>
      </c>
      <c r="G245" s="236" t="s">
        <v>295</v>
      </c>
      <c r="H245" s="236" t="s">
        <v>295</v>
      </c>
      <c r="I245" s="236" t="s">
        <v>295</v>
      </c>
      <c r="J245" s="236">
        <v>5</v>
      </c>
      <c r="K245" s="236">
        <v>5</v>
      </c>
      <c r="L245" s="333"/>
    </row>
    <row r="246" spans="2:12" ht="15" customHeight="1">
      <c r="B246" s="128">
        <v>251</v>
      </c>
      <c r="C246" s="235" t="s">
        <v>569</v>
      </c>
      <c r="D246" s="236" t="s">
        <v>293</v>
      </c>
      <c r="E246" s="236" t="s">
        <v>294</v>
      </c>
      <c r="F246" s="236">
        <v>5</v>
      </c>
      <c r="G246" s="236" t="s">
        <v>295</v>
      </c>
      <c r="H246" s="236" t="s">
        <v>295</v>
      </c>
      <c r="I246" s="236" t="s">
        <v>295</v>
      </c>
      <c r="J246" s="236">
        <v>5</v>
      </c>
      <c r="K246" s="236">
        <v>5</v>
      </c>
      <c r="L246" s="333"/>
    </row>
    <row r="247" spans="2:12" ht="13.5" customHeight="1" thickBot="1">
      <c r="B247" s="128">
        <v>252</v>
      </c>
      <c r="C247" s="235" t="s">
        <v>570</v>
      </c>
      <c r="D247" s="236" t="s">
        <v>293</v>
      </c>
      <c r="E247" s="236" t="s">
        <v>294</v>
      </c>
      <c r="F247" s="236">
        <v>5</v>
      </c>
      <c r="G247" s="236" t="s">
        <v>295</v>
      </c>
      <c r="H247" s="236" t="s">
        <v>295</v>
      </c>
      <c r="I247" s="236" t="s">
        <v>295</v>
      </c>
      <c r="J247" s="236">
        <v>5</v>
      </c>
      <c r="K247" s="236">
        <v>5</v>
      </c>
      <c r="L247" s="334"/>
    </row>
    <row r="248" spans="2:12" ht="51" customHeight="1">
      <c r="B248" s="125">
        <v>253</v>
      </c>
      <c r="C248" s="237" t="s">
        <v>571</v>
      </c>
      <c r="D248" s="229" t="s">
        <v>357</v>
      </c>
      <c r="E248" s="229" t="s">
        <v>294</v>
      </c>
      <c r="F248" s="229">
        <v>5</v>
      </c>
      <c r="G248" s="229" t="s">
        <v>295</v>
      </c>
      <c r="H248" s="229" t="s">
        <v>295</v>
      </c>
      <c r="I248" s="229" t="s">
        <v>295</v>
      </c>
      <c r="J248" s="229">
        <v>5</v>
      </c>
      <c r="K248" s="229">
        <v>5</v>
      </c>
      <c r="L248" s="332" t="s">
        <v>238</v>
      </c>
    </row>
    <row r="249" spans="2:12" ht="27">
      <c r="B249" s="128">
        <v>254</v>
      </c>
      <c r="C249" s="238" t="s">
        <v>571</v>
      </c>
      <c r="D249" s="230" t="s">
        <v>357</v>
      </c>
      <c r="E249" s="230" t="s">
        <v>294</v>
      </c>
      <c r="F249" s="230">
        <v>5</v>
      </c>
      <c r="G249" s="230" t="s">
        <v>295</v>
      </c>
      <c r="H249" s="230" t="s">
        <v>295</v>
      </c>
      <c r="I249" s="230" t="s">
        <v>295</v>
      </c>
      <c r="J249" s="230">
        <v>5</v>
      </c>
      <c r="K249" s="230">
        <v>5</v>
      </c>
      <c r="L249" s="333"/>
    </row>
    <row r="250" spans="2:12" ht="27.75" thickBot="1">
      <c r="B250" s="128">
        <v>255</v>
      </c>
      <c r="C250" s="238" t="s">
        <v>571</v>
      </c>
      <c r="D250" s="230" t="s">
        <v>357</v>
      </c>
      <c r="E250" s="230" t="s">
        <v>294</v>
      </c>
      <c r="F250" s="230">
        <v>5</v>
      </c>
      <c r="G250" s="230" t="s">
        <v>295</v>
      </c>
      <c r="H250" s="230" t="s">
        <v>295</v>
      </c>
      <c r="I250" s="230" t="s">
        <v>295</v>
      </c>
      <c r="J250" s="230">
        <v>5</v>
      </c>
      <c r="K250" s="230">
        <v>5</v>
      </c>
      <c r="L250" s="333"/>
    </row>
    <row r="251" spans="2:12">
      <c r="B251" s="125">
        <v>256</v>
      </c>
      <c r="C251" s="163" t="s">
        <v>572</v>
      </c>
      <c r="D251" s="230" t="s">
        <v>293</v>
      </c>
      <c r="E251" s="230" t="s">
        <v>294</v>
      </c>
      <c r="F251" s="230">
        <v>5</v>
      </c>
      <c r="G251" s="230" t="s">
        <v>295</v>
      </c>
      <c r="H251" s="230" t="s">
        <v>295</v>
      </c>
      <c r="I251" s="230" t="s">
        <v>295</v>
      </c>
      <c r="J251" s="230">
        <v>5</v>
      </c>
      <c r="K251" s="230">
        <v>5</v>
      </c>
      <c r="L251" s="333"/>
    </row>
    <row r="252" spans="2:12">
      <c r="B252" s="128">
        <v>257</v>
      </c>
      <c r="C252" s="163" t="s">
        <v>573</v>
      </c>
      <c r="D252" s="230" t="s">
        <v>293</v>
      </c>
      <c r="E252" s="230" t="s">
        <v>294</v>
      </c>
      <c r="F252" s="230">
        <v>5</v>
      </c>
      <c r="G252" s="230" t="s">
        <v>295</v>
      </c>
      <c r="H252" s="230" t="s">
        <v>295</v>
      </c>
      <c r="I252" s="230" t="s">
        <v>295</v>
      </c>
      <c r="J252" s="230">
        <v>5</v>
      </c>
      <c r="K252" s="230">
        <v>5</v>
      </c>
      <c r="L252" s="333"/>
    </row>
    <row r="253" spans="2:12" ht="15.75" thickBot="1">
      <c r="B253" s="128">
        <v>258</v>
      </c>
      <c r="C253" s="163" t="s">
        <v>574</v>
      </c>
      <c r="D253" s="230" t="s">
        <v>293</v>
      </c>
      <c r="E253" s="230" t="s">
        <v>294</v>
      </c>
      <c r="F253" s="230">
        <v>5</v>
      </c>
      <c r="G253" s="230" t="s">
        <v>295</v>
      </c>
      <c r="H253" s="230" t="s">
        <v>295</v>
      </c>
      <c r="I253" s="230" t="s">
        <v>295</v>
      </c>
      <c r="J253" s="230">
        <v>5</v>
      </c>
      <c r="K253" s="230">
        <v>5</v>
      </c>
      <c r="L253" s="333"/>
    </row>
    <row r="254" spans="2:12">
      <c r="B254" s="125">
        <v>259</v>
      </c>
      <c r="C254" s="163" t="s">
        <v>575</v>
      </c>
      <c r="D254" s="230" t="s">
        <v>293</v>
      </c>
      <c r="E254" s="230" t="s">
        <v>294</v>
      </c>
      <c r="F254" s="230">
        <v>5</v>
      </c>
      <c r="G254" s="230" t="s">
        <v>295</v>
      </c>
      <c r="H254" s="230" t="s">
        <v>295</v>
      </c>
      <c r="I254" s="230" t="s">
        <v>295</v>
      </c>
      <c r="J254" s="230">
        <v>5</v>
      </c>
      <c r="K254" s="230">
        <v>5</v>
      </c>
      <c r="L254" s="333"/>
    </row>
    <row r="255" spans="2:12">
      <c r="B255" s="128">
        <v>260</v>
      </c>
      <c r="C255" s="163" t="s">
        <v>576</v>
      </c>
      <c r="D255" s="230" t="s">
        <v>293</v>
      </c>
      <c r="E255" s="230" t="s">
        <v>294</v>
      </c>
      <c r="F255" s="230">
        <v>5</v>
      </c>
      <c r="G255" s="230" t="s">
        <v>295</v>
      </c>
      <c r="H255" s="230" t="s">
        <v>295</v>
      </c>
      <c r="I255" s="230" t="s">
        <v>295</v>
      </c>
      <c r="J255" s="230">
        <v>4</v>
      </c>
      <c r="K255" s="230">
        <v>5</v>
      </c>
      <c r="L255" s="333"/>
    </row>
    <row r="256" spans="2:12" ht="15" customHeight="1" thickBot="1">
      <c r="B256" s="128">
        <v>261</v>
      </c>
      <c r="C256" s="163" t="s">
        <v>577</v>
      </c>
      <c r="D256" s="230" t="s">
        <v>293</v>
      </c>
      <c r="E256" s="230" t="s">
        <v>294</v>
      </c>
      <c r="F256" s="230">
        <v>4</v>
      </c>
      <c r="G256" s="230" t="s">
        <v>578</v>
      </c>
      <c r="H256" s="230" t="s">
        <v>295</v>
      </c>
      <c r="I256" s="230" t="s">
        <v>295</v>
      </c>
      <c r="J256" s="230">
        <v>4</v>
      </c>
      <c r="K256" s="230">
        <v>5</v>
      </c>
      <c r="L256" s="333"/>
    </row>
    <row r="257" spans="2:12">
      <c r="B257" s="125">
        <v>262</v>
      </c>
      <c r="C257" s="163" t="s">
        <v>579</v>
      </c>
      <c r="D257" s="230" t="s">
        <v>293</v>
      </c>
      <c r="E257" s="230" t="s">
        <v>294</v>
      </c>
      <c r="F257" s="230">
        <v>5</v>
      </c>
      <c r="G257" s="230" t="s">
        <v>295</v>
      </c>
      <c r="H257" s="230" t="s">
        <v>295</v>
      </c>
      <c r="I257" s="230" t="s">
        <v>295</v>
      </c>
      <c r="J257" s="230">
        <v>5</v>
      </c>
      <c r="K257" s="230">
        <v>5</v>
      </c>
      <c r="L257" s="333"/>
    </row>
    <row r="258" spans="2:12">
      <c r="B258" s="128">
        <v>263</v>
      </c>
      <c r="C258" s="163" t="s">
        <v>580</v>
      </c>
      <c r="D258" s="230" t="s">
        <v>293</v>
      </c>
      <c r="E258" s="230" t="s">
        <v>294</v>
      </c>
      <c r="F258" s="230">
        <v>5</v>
      </c>
      <c r="G258" s="230" t="s">
        <v>295</v>
      </c>
      <c r="H258" s="230" t="s">
        <v>295</v>
      </c>
      <c r="I258" s="230" t="s">
        <v>295</v>
      </c>
      <c r="J258" s="230">
        <v>5</v>
      </c>
      <c r="K258" s="230">
        <v>5</v>
      </c>
      <c r="L258" s="333"/>
    </row>
    <row r="259" spans="2:12" ht="15.75" thickBot="1">
      <c r="B259" s="128">
        <v>264</v>
      </c>
      <c r="C259" s="163" t="s">
        <v>581</v>
      </c>
      <c r="D259" s="230" t="s">
        <v>293</v>
      </c>
      <c r="E259" s="230" t="s">
        <v>294</v>
      </c>
      <c r="F259" s="230">
        <v>5</v>
      </c>
      <c r="G259" s="230" t="s">
        <v>295</v>
      </c>
      <c r="H259" s="230" t="s">
        <v>295</v>
      </c>
      <c r="I259" s="230" t="s">
        <v>295</v>
      </c>
      <c r="J259" s="230">
        <v>5</v>
      </c>
      <c r="K259" s="230">
        <v>5</v>
      </c>
      <c r="L259" s="333"/>
    </row>
    <row r="260" spans="2:12">
      <c r="B260" s="125">
        <v>265</v>
      </c>
      <c r="C260" s="163" t="s">
        <v>582</v>
      </c>
      <c r="D260" s="230" t="s">
        <v>293</v>
      </c>
      <c r="E260" s="230" t="s">
        <v>294</v>
      </c>
      <c r="F260" s="230">
        <v>4</v>
      </c>
      <c r="G260" s="230" t="s">
        <v>295</v>
      </c>
      <c r="H260" s="230" t="s">
        <v>295</v>
      </c>
      <c r="I260" s="230" t="s">
        <v>295</v>
      </c>
      <c r="J260" s="230">
        <v>4</v>
      </c>
      <c r="K260" s="230">
        <v>4</v>
      </c>
      <c r="L260" s="333"/>
    </row>
    <row r="261" spans="2:12">
      <c r="B261" s="128">
        <v>266</v>
      </c>
      <c r="C261" s="164" t="s">
        <v>583</v>
      </c>
      <c r="D261" s="231" t="s">
        <v>293</v>
      </c>
      <c r="E261" s="231" t="s">
        <v>294</v>
      </c>
      <c r="F261" s="231">
        <v>5</v>
      </c>
      <c r="G261" s="231" t="s">
        <v>295</v>
      </c>
      <c r="H261" s="231" t="s">
        <v>295</v>
      </c>
      <c r="I261" s="231" t="s">
        <v>295</v>
      </c>
      <c r="J261" s="231">
        <v>5</v>
      </c>
      <c r="K261" s="231">
        <v>5</v>
      </c>
      <c r="L261" s="333"/>
    </row>
    <row r="262" spans="2:12" ht="15.75" thickBot="1">
      <c r="B262" s="128">
        <v>267</v>
      </c>
      <c r="C262" s="169" t="s">
        <v>584</v>
      </c>
      <c r="D262" s="232" t="s">
        <v>293</v>
      </c>
      <c r="E262" s="232" t="s">
        <v>294</v>
      </c>
      <c r="F262" s="232">
        <v>5</v>
      </c>
      <c r="G262" s="232" t="s">
        <v>295</v>
      </c>
      <c r="H262" s="232" t="s">
        <v>295</v>
      </c>
      <c r="I262" s="232" t="s">
        <v>295</v>
      </c>
      <c r="J262" s="232">
        <v>5</v>
      </c>
      <c r="K262" s="232">
        <v>5</v>
      </c>
      <c r="L262" s="333"/>
    </row>
    <row r="263" spans="2:12">
      <c r="B263" s="125">
        <v>268</v>
      </c>
      <c r="C263" s="169" t="s">
        <v>585</v>
      </c>
      <c r="D263" s="232" t="s">
        <v>293</v>
      </c>
      <c r="E263" s="232" t="s">
        <v>294</v>
      </c>
      <c r="F263" s="232">
        <v>5</v>
      </c>
      <c r="G263" s="232"/>
      <c r="H263" s="232" t="s">
        <v>295</v>
      </c>
      <c r="I263" s="232" t="s">
        <v>295</v>
      </c>
      <c r="J263" s="232">
        <v>5</v>
      </c>
      <c r="K263" s="232">
        <v>5</v>
      </c>
      <c r="L263" s="333"/>
    </row>
    <row r="264" spans="2:12">
      <c r="B264" s="128">
        <v>269</v>
      </c>
      <c r="C264" s="169" t="s">
        <v>586</v>
      </c>
      <c r="D264" s="232" t="s">
        <v>293</v>
      </c>
      <c r="E264" s="232" t="s">
        <v>294</v>
      </c>
      <c r="F264" s="232">
        <v>5</v>
      </c>
      <c r="G264" s="232" t="s">
        <v>295</v>
      </c>
      <c r="H264" s="232" t="s">
        <v>295</v>
      </c>
      <c r="I264" s="232" t="s">
        <v>295</v>
      </c>
      <c r="J264" s="232">
        <v>5</v>
      </c>
      <c r="K264" s="232">
        <v>5</v>
      </c>
      <c r="L264" s="333"/>
    </row>
    <row r="265" spans="2:12" ht="15.75" thickBot="1">
      <c r="B265" s="128">
        <v>270</v>
      </c>
      <c r="C265" s="169" t="s">
        <v>587</v>
      </c>
      <c r="D265" s="232" t="s">
        <v>293</v>
      </c>
      <c r="E265" s="232" t="s">
        <v>294</v>
      </c>
      <c r="F265" s="232">
        <v>5</v>
      </c>
      <c r="G265" s="232"/>
      <c r="H265" s="232" t="s">
        <v>295</v>
      </c>
      <c r="I265" s="232" t="s">
        <v>295</v>
      </c>
      <c r="J265" s="232">
        <v>5</v>
      </c>
      <c r="K265" s="232">
        <v>5</v>
      </c>
      <c r="L265" s="333"/>
    </row>
    <row r="266" spans="2:12">
      <c r="B266" s="125">
        <v>271</v>
      </c>
      <c r="C266" s="169" t="s">
        <v>588</v>
      </c>
      <c r="D266" s="232" t="s">
        <v>293</v>
      </c>
      <c r="E266" s="232" t="s">
        <v>589</v>
      </c>
      <c r="F266" s="232">
        <v>5</v>
      </c>
      <c r="G266" s="232" t="s">
        <v>296</v>
      </c>
      <c r="H266" s="232" t="s">
        <v>295</v>
      </c>
      <c r="I266" s="232" t="s">
        <v>295</v>
      </c>
      <c r="J266" s="232">
        <v>5</v>
      </c>
      <c r="K266" s="232">
        <v>5</v>
      </c>
      <c r="L266" s="333"/>
    </row>
    <row r="267" spans="2:12">
      <c r="B267" s="128">
        <v>272</v>
      </c>
      <c r="C267" s="169" t="s">
        <v>590</v>
      </c>
      <c r="D267" s="232" t="s">
        <v>293</v>
      </c>
      <c r="E267" s="232" t="s">
        <v>294</v>
      </c>
      <c r="F267" s="232">
        <v>5</v>
      </c>
      <c r="G267" s="232" t="s">
        <v>295</v>
      </c>
      <c r="H267" s="232" t="s">
        <v>295</v>
      </c>
      <c r="I267" s="232" t="s">
        <v>295</v>
      </c>
      <c r="J267" s="232">
        <v>5</v>
      </c>
      <c r="K267" s="232">
        <v>5</v>
      </c>
      <c r="L267" s="333"/>
    </row>
    <row r="268" spans="2:12" ht="15.75" thickBot="1">
      <c r="B268" s="128">
        <v>273</v>
      </c>
      <c r="C268" s="169" t="s">
        <v>591</v>
      </c>
      <c r="D268" s="232" t="s">
        <v>293</v>
      </c>
      <c r="E268" s="232" t="s">
        <v>294</v>
      </c>
      <c r="F268" s="232">
        <v>5</v>
      </c>
      <c r="G268" s="232"/>
      <c r="H268" s="232" t="s">
        <v>295</v>
      </c>
      <c r="I268" s="232" t="s">
        <v>295</v>
      </c>
      <c r="J268" s="232">
        <v>5</v>
      </c>
      <c r="K268" s="232">
        <v>5</v>
      </c>
      <c r="L268" s="333"/>
    </row>
    <row r="269" spans="2:12">
      <c r="B269" s="125">
        <v>274</v>
      </c>
      <c r="C269" s="233" t="s">
        <v>592</v>
      </c>
      <c r="D269" s="234" t="s">
        <v>293</v>
      </c>
      <c r="E269" s="234" t="s">
        <v>294</v>
      </c>
      <c r="F269" s="234">
        <v>5</v>
      </c>
      <c r="G269" s="234"/>
      <c r="H269" s="234" t="s">
        <v>295</v>
      </c>
      <c r="I269" s="234" t="s">
        <v>295</v>
      </c>
      <c r="J269" s="234">
        <v>5</v>
      </c>
      <c r="K269" s="234">
        <v>5</v>
      </c>
      <c r="L269" s="333"/>
    </row>
    <row r="270" spans="2:12">
      <c r="B270" s="128">
        <v>275</v>
      </c>
      <c r="C270" s="233" t="s">
        <v>593</v>
      </c>
      <c r="D270" s="234" t="s">
        <v>293</v>
      </c>
      <c r="E270" s="234" t="s">
        <v>294</v>
      </c>
      <c r="F270" s="234">
        <v>5</v>
      </c>
      <c r="G270" s="234" t="s">
        <v>295</v>
      </c>
      <c r="H270" s="234" t="s">
        <v>295</v>
      </c>
      <c r="I270" s="234" t="s">
        <v>295</v>
      </c>
      <c r="J270" s="234">
        <v>5</v>
      </c>
      <c r="K270" s="234">
        <v>5</v>
      </c>
      <c r="L270" s="333"/>
    </row>
    <row r="271" spans="2:12" ht="15.75" thickBot="1">
      <c r="B271" s="128">
        <v>276</v>
      </c>
      <c r="C271" s="233" t="s">
        <v>594</v>
      </c>
      <c r="D271" s="234" t="s">
        <v>293</v>
      </c>
      <c r="E271" s="234" t="s">
        <v>294</v>
      </c>
      <c r="F271" s="234">
        <v>5</v>
      </c>
      <c r="G271" s="234" t="s">
        <v>295</v>
      </c>
      <c r="H271" s="234" t="s">
        <v>295</v>
      </c>
      <c r="I271" s="234" t="s">
        <v>295</v>
      </c>
      <c r="J271" s="234">
        <v>5</v>
      </c>
      <c r="K271" s="234">
        <v>5</v>
      </c>
      <c r="L271" s="333"/>
    </row>
    <row r="272" spans="2:12">
      <c r="B272" s="125">
        <v>277</v>
      </c>
      <c r="C272" s="233" t="s">
        <v>595</v>
      </c>
      <c r="D272" s="234" t="s">
        <v>293</v>
      </c>
      <c r="E272" s="234" t="s">
        <v>294</v>
      </c>
      <c r="F272" s="234">
        <v>5</v>
      </c>
      <c r="G272" s="234"/>
      <c r="H272" s="234" t="s">
        <v>295</v>
      </c>
      <c r="I272" s="234" t="s">
        <v>295</v>
      </c>
      <c r="J272" s="234">
        <v>5</v>
      </c>
      <c r="K272" s="234">
        <v>5</v>
      </c>
      <c r="L272" s="333"/>
    </row>
    <row r="273" spans="2:22">
      <c r="B273" s="128">
        <v>278</v>
      </c>
      <c r="C273" s="233" t="s">
        <v>596</v>
      </c>
      <c r="D273" s="234" t="s">
        <v>293</v>
      </c>
      <c r="E273" s="234" t="s">
        <v>589</v>
      </c>
      <c r="F273" s="234">
        <v>5</v>
      </c>
      <c r="G273" s="234" t="s">
        <v>295</v>
      </c>
      <c r="H273" s="234" t="s">
        <v>295</v>
      </c>
      <c r="I273" s="234" t="s">
        <v>295</v>
      </c>
      <c r="J273" s="234">
        <v>5</v>
      </c>
      <c r="K273" s="234">
        <v>5</v>
      </c>
      <c r="L273" s="333"/>
    </row>
    <row r="274" spans="2:22" ht="15.75" thickBot="1">
      <c r="B274" s="128">
        <v>279</v>
      </c>
      <c r="C274" s="233" t="s">
        <v>597</v>
      </c>
      <c r="D274" s="234" t="s">
        <v>293</v>
      </c>
      <c r="E274" s="234" t="s">
        <v>294</v>
      </c>
      <c r="F274" s="234">
        <v>4</v>
      </c>
      <c r="G274" s="234" t="s">
        <v>295</v>
      </c>
      <c r="H274" s="234" t="s">
        <v>295</v>
      </c>
      <c r="I274" s="234" t="s">
        <v>295</v>
      </c>
      <c r="J274" s="234">
        <v>5</v>
      </c>
      <c r="K274" s="234">
        <v>5</v>
      </c>
      <c r="L274" s="333"/>
    </row>
    <row r="275" spans="2:22">
      <c r="B275" s="125">
        <v>280</v>
      </c>
      <c r="C275" s="235" t="s">
        <v>598</v>
      </c>
      <c r="D275" s="236" t="s">
        <v>293</v>
      </c>
      <c r="E275" s="236" t="s">
        <v>294</v>
      </c>
      <c r="F275" s="236">
        <v>5</v>
      </c>
      <c r="G275" s="236" t="s">
        <v>295</v>
      </c>
      <c r="H275" s="236" t="s">
        <v>295</v>
      </c>
      <c r="I275" s="236" t="s">
        <v>295</v>
      </c>
      <c r="J275" s="236">
        <v>5</v>
      </c>
      <c r="K275" s="236">
        <v>5</v>
      </c>
      <c r="L275" s="333"/>
    </row>
    <row r="276" spans="2:22">
      <c r="B276" s="128">
        <v>281</v>
      </c>
      <c r="C276" s="235" t="s">
        <v>599</v>
      </c>
      <c r="D276" s="236" t="s">
        <v>293</v>
      </c>
      <c r="E276" s="236" t="s">
        <v>294</v>
      </c>
      <c r="F276" s="236">
        <v>5</v>
      </c>
      <c r="G276" s="236" t="s">
        <v>295</v>
      </c>
      <c r="H276" s="236" t="s">
        <v>295</v>
      </c>
      <c r="I276" s="236" t="s">
        <v>295</v>
      </c>
      <c r="J276" s="236">
        <v>5</v>
      </c>
      <c r="K276" s="236">
        <v>5</v>
      </c>
      <c r="L276" s="333"/>
    </row>
    <row r="277" spans="2:22" ht="15.75" thickBot="1">
      <c r="B277" s="128">
        <v>282</v>
      </c>
      <c r="C277" s="235" t="s">
        <v>600</v>
      </c>
      <c r="D277" s="236" t="s">
        <v>293</v>
      </c>
      <c r="E277" s="236" t="s">
        <v>294</v>
      </c>
      <c r="F277" s="236">
        <v>5</v>
      </c>
      <c r="G277" s="236" t="s">
        <v>295</v>
      </c>
      <c r="H277" s="236" t="s">
        <v>295</v>
      </c>
      <c r="I277" s="236" t="s">
        <v>295</v>
      </c>
      <c r="J277" s="236">
        <v>5</v>
      </c>
      <c r="K277" s="236">
        <v>5</v>
      </c>
      <c r="L277" s="333"/>
    </row>
    <row r="278" spans="2:22">
      <c r="B278" s="125">
        <v>283</v>
      </c>
      <c r="C278" s="235" t="s">
        <v>601</v>
      </c>
      <c r="D278" s="236" t="s">
        <v>293</v>
      </c>
      <c r="E278" s="236" t="s">
        <v>294</v>
      </c>
      <c r="F278" s="236">
        <v>5</v>
      </c>
      <c r="G278" s="236" t="s">
        <v>295</v>
      </c>
      <c r="H278" s="236" t="s">
        <v>295</v>
      </c>
      <c r="I278" s="236" t="s">
        <v>295</v>
      </c>
      <c r="J278" s="236">
        <v>5</v>
      </c>
      <c r="K278" s="236">
        <v>5</v>
      </c>
      <c r="L278" s="333"/>
    </row>
    <row r="279" spans="2:22" ht="15.75" customHeight="1" thickBot="1">
      <c r="B279" s="128">
        <v>284</v>
      </c>
      <c r="C279" s="235" t="s">
        <v>602</v>
      </c>
      <c r="D279" s="236" t="s">
        <v>293</v>
      </c>
      <c r="E279" s="236" t="s">
        <v>589</v>
      </c>
      <c r="F279" s="236">
        <v>4</v>
      </c>
      <c r="G279" s="236" t="s">
        <v>295</v>
      </c>
      <c r="H279" s="236" t="s">
        <v>295</v>
      </c>
      <c r="I279" s="236" t="s">
        <v>295</v>
      </c>
      <c r="J279" s="236">
        <v>5</v>
      </c>
      <c r="K279" s="236">
        <v>5</v>
      </c>
      <c r="L279" s="334"/>
      <c r="R279" s="24" t="s">
        <v>390</v>
      </c>
      <c r="S279" s="335" t="s">
        <v>623</v>
      </c>
      <c r="T279" s="335"/>
      <c r="U279" s="335"/>
      <c r="V279" s="335"/>
    </row>
    <row r="280" spans="2:22" ht="15.75" thickBot="1">
      <c r="B280" s="128">
        <v>285</v>
      </c>
      <c r="C280" s="197" t="s">
        <v>603</v>
      </c>
      <c r="D280" s="212" t="s">
        <v>293</v>
      </c>
      <c r="E280" s="212" t="s">
        <v>294</v>
      </c>
      <c r="F280" s="212">
        <v>5</v>
      </c>
      <c r="G280" s="212" t="s">
        <v>296</v>
      </c>
      <c r="H280" s="212" t="s">
        <v>295</v>
      </c>
      <c r="I280" s="212" t="s">
        <v>295</v>
      </c>
      <c r="J280" s="212">
        <v>5</v>
      </c>
      <c r="K280" s="212">
        <v>5</v>
      </c>
      <c r="L280" s="332" t="s">
        <v>239</v>
      </c>
      <c r="S280" s="265" t="s">
        <v>345</v>
      </c>
      <c r="T280" s="266" t="s">
        <v>179</v>
      </c>
      <c r="U280" s="266">
        <v>24</v>
      </c>
      <c r="V280" s="266">
        <f>U280/304</f>
        <v>7.8947368421052627E-2</v>
      </c>
    </row>
    <row r="281" spans="2:22">
      <c r="B281" s="125">
        <v>286</v>
      </c>
      <c r="C281" s="198" t="s">
        <v>604</v>
      </c>
      <c r="D281" s="213" t="s">
        <v>293</v>
      </c>
      <c r="E281" s="213" t="s">
        <v>294</v>
      </c>
      <c r="F281" s="213">
        <v>4</v>
      </c>
      <c r="G281" s="213" t="s">
        <v>295</v>
      </c>
      <c r="H281" s="213" t="s">
        <v>295</v>
      </c>
      <c r="I281" s="213" t="s">
        <v>295</v>
      </c>
      <c r="J281" s="213">
        <v>5</v>
      </c>
      <c r="K281" s="213">
        <v>5</v>
      </c>
      <c r="L281" s="333"/>
      <c r="M281" s="144"/>
      <c r="N281" s="144"/>
      <c r="S281" s="266" t="s">
        <v>625</v>
      </c>
      <c r="T281" s="266">
        <v>1</v>
      </c>
      <c r="U281" s="266">
        <v>0</v>
      </c>
      <c r="V281" s="266">
        <f>U281/304</f>
        <v>0</v>
      </c>
    </row>
    <row r="282" spans="2:22">
      <c r="B282" s="128">
        <v>287</v>
      </c>
      <c r="C282" s="198" t="s">
        <v>605</v>
      </c>
      <c r="D282" s="213" t="s">
        <v>293</v>
      </c>
      <c r="E282" s="213" t="s">
        <v>294</v>
      </c>
      <c r="F282" s="213">
        <v>4</v>
      </c>
      <c r="G282" s="213" t="s">
        <v>295</v>
      </c>
      <c r="H282" s="213" t="s">
        <v>295</v>
      </c>
      <c r="I282" s="213" t="s">
        <v>295</v>
      </c>
      <c r="J282" s="213">
        <v>5</v>
      </c>
      <c r="K282" s="213">
        <v>5</v>
      </c>
      <c r="L282" s="333"/>
      <c r="M282" s="144"/>
      <c r="N282" s="144"/>
      <c r="S282" s="266" t="s">
        <v>626</v>
      </c>
      <c r="T282" s="266">
        <v>3</v>
      </c>
      <c r="U282" s="266">
        <v>1</v>
      </c>
      <c r="V282" s="266">
        <f>U282/304</f>
        <v>3.2894736842105261E-3</v>
      </c>
    </row>
    <row r="283" spans="2:22" ht="15.75" thickBot="1">
      <c r="B283" s="128">
        <v>288</v>
      </c>
      <c r="C283" s="198" t="s">
        <v>606</v>
      </c>
      <c r="D283" s="213" t="s">
        <v>293</v>
      </c>
      <c r="E283" s="213" t="s">
        <v>294</v>
      </c>
      <c r="F283" s="213">
        <v>5</v>
      </c>
      <c r="G283" s="213" t="s">
        <v>295</v>
      </c>
      <c r="H283" s="213" t="s">
        <v>295</v>
      </c>
      <c r="I283" s="213" t="s">
        <v>295</v>
      </c>
      <c r="J283" s="213">
        <v>5</v>
      </c>
      <c r="K283" s="213">
        <v>5</v>
      </c>
      <c r="L283" s="333"/>
      <c r="M283" s="144"/>
      <c r="N283" s="144"/>
      <c r="S283" s="266" t="s">
        <v>627</v>
      </c>
      <c r="T283" s="266">
        <v>4</v>
      </c>
      <c r="U283" s="266">
        <v>17</v>
      </c>
      <c r="V283" s="266">
        <f>U283/304</f>
        <v>5.5921052631578948E-2</v>
      </c>
    </row>
    <row r="284" spans="2:22">
      <c r="B284" s="125">
        <v>289</v>
      </c>
      <c r="C284" s="198" t="s">
        <v>607</v>
      </c>
      <c r="D284" s="213" t="s">
        <v>293</v>
      </c>
      <c r="E284" s="213" t="s">
        <v>294</v>
      </c>
      <c r="F284" s="213">
        <v>5</v>
      </c>
      <c r="G284" s="213" t="s">
        <v>295</v>
      </c>
      <c r="H284" s="213" t="s">
        <v>295</v>
      </c>
      <c r="I284" s="213" t="s">
        <v>295</v>
      </c>
      <c r="J284" s="213">
        <v>5</v>
      </c>
      <c r="K284" s="213">
        <v>5</v>
      </c>
      <c r="L284" s="333"/>
      <c r="M284" s="144"/>
      <c r="N284" s="144"/>
      <c r="S284" s="266" t="s">
        <v>628</v>
      </c>
      <c r="T284" s="266">
        <v>5</v>
      </c>
      <c r="U284" s="266">
        <v>617</v>
      </c>
      <c r="V284" s="266">
        <f>U284/304</f>
        <v>2.0296052631578947</v>
      </c>
    </row>
    <row r="285" spans="2:22">
      <c r="B285" s="128">
        <v>290</v>
      </c>
      <c r="C285" s="198" t="s">
        <v>608</v>
      </c>
      <c r="D285" s="213" t="s">
        <v>293</v>
      </c>
      <c r="E285" s="213" t="s">
        <v>294</v>
      </c>
      <c r="F285" s="213">
        <v>4</v>
      </c>
      <c r="G285" s="213" t="s">
        <v>295</v>
      </c>
      <c r="H285" s="213" t="s">
        <v>295</v>
      </c>
      <c r="I285" s="213" t="s">
        <v>295</v>
      </c>
      <c r="J285" s="213">
        <v>4</v>
      </c>
      <c r="K285" s="213">
        <v>4</v>
      </c>
      <c r="L285" s="333"/>
      <c r="M285" s="144"/>
      <c r="N285" s="144"/>
    </row>
    <row r="286" spans="2:22" ht="15.75" thickBot="1">
      <c r="B286" s="128">
        <v>291</v>
      </c>
      <c r="C286" s="198" t="s">
        <v>609</v>
      </c>
      <c r="D286" s="213" t="s">
        <v>293</v>
      </c>
      <c r="E286" s="213" t="s">
        <v>294</v>
      </c>
      <c r="F286" s="213">
        <v>5</v>
      </c>
      <c r="G286" s="213" t="s">
        <v>295</v>
      </c>
      <c r="H286" s="213" t="s">
        <v>295</v>
      </c>
      <c r="I286" s="213" t="s">
        <v>295</v>
      </c>
      <c r="J286" s="213">
        <v>5</v>
      </c>
      <c r="K286" s="213">
        <v>5</v>
      </c>
      <c r="L286" s="333"/>
      <c r="M286" s="144"/>
      <c r="N286" s="144"/>
      <c r="U286" s="24">
        <v>659</v>
      </c>
    </row>
    <row r="287" spans="2:22">
      <c r="B287" s="125">
        <v>292</v>
      </c>
      <c r="C287" s="239" t="s">
        <v>610</v>
      </c>
      <c r="D287" s="240" t="s">
        <v>293</v>
      </c>
      <c r="E287" s="240" t="s">
        <v>294</v>
      </c>
      <c r="F287" s="240">
        <v>5</v>
      </c>
      <c r="G287" s="240" t="s">
        <v>295</v>
      </c>
      <c r="H287" s="240" t="s">
        <v>295</v>
      </c>
      <c r="I287" s="240" t="s">
        <v>295</v>
      </c>
      <c r="J287" s="240">
        <v>5</v>
      </c>
      <c r="K287" s="240">
        <v>5</v>
      </c>
      <c r="L287" s="333"/>
      <c r="M287" s="144"/>
      <c r="N287" s="144"/>
    </row>
    <row r="288" spans="2:22">
      <c r="B288" s="128">
        <v>293</v>
      </c>
      <c r="C288" s="239" t="s">
        <v>611</v>
      </c>
      <c r="D288" s="240" t="s">
        <v>293</v>
      </c>
      <c r="E288" s="240" t="s">
        <v>294</v>
      </c>
      <c r="F288" s="240">
        <v>5</v>
      </c>
      <c r="G288" s="240" t="s">
        <v>295</v>
      </c>
      <c r="H288" s="240" t="s">
        <v>295</v>
      </c>
      <c r="I288" s="240" t="s">
        <v>295</v>
      </c>
      <c r="J288" s="240">
        <v>5</v>
      </c>
      <c r="K288" s="240">
        <v>5</v>
      </c>
      <c r="L288" s="333"/>
      <c r="M288" s="144"/>
    </row>
    <row r="289" spans="2:15" ht="15.75" thickBot="1">
      <c r="B289" s="128">
        <v>294</v>
      </c>
      <c r="C289" s="239" t="s">
        <v>612</v>
      </c>
      <c r="D289" s="240" t="s">
        <v>293</v>
      </c>
      <c r="E289" s="240" t="s">
        <v>294</v>
      </c>
      <c r="F289" s="240">
        <v>5</v>
      </c>
      <c r="G289" s="240" t="s">
        <v>295</v>
      </c>
      <c r="H289" s="240" t="s">
        <v>295</v>
      </c>
      <c r="I289" s="240" t="s">
        <v>295</v>
      </c>
      <c r="J289" s="240">
        <v>5</v>
      </c>
      <c r="K289" s="240">
        <v>5</v>
      </c>
      <c r="L289" s="333"/>
      <c r="M289" s="144"/>
    </row>
    <row r="290" spans="2:15">
      <c r="B290" s="125">
        <v>295</v>
      </c>
      <c r="C290" s="239" t="s">
        <v>613</v>
      </c>
      <c r="D290" s="240" t="s">
        <v>293</v>
      </c>
      <c r="E290" s="240" t="s">
        <v>294</v>
      </c>
      <c r="F290" s="240">
        <v>5</v>
      </c>
      <c r="G290" s="240" t="s">
        <v>295</v>
      </c>
      <c r="H290" s="240" t="s">
        <v>295</v>
      </c>
      <c r="I290" s="240" t="s">
        <v>295</v>
      </c>
      <c r="J290" s="240">
        <v>5</v>
      </c>
      <c r="K290" s="240">
        <v>5</v>
      </c>
      <c r="L290" s="333"/>
      <c r="M290" s="144"/>
      <c r="O290" s="258"/>
    </row>
    <row r="291" spans="2:15">
      <c r="B291" s="128">
        <v>296</v>
      </c>
      <c r="C291" s="239" t="s">
        <v>614</v>
      </c>
      <c r="D291" s="240" t="s">
        <v>293</v>
      </c>
      <c r="E291" s="240" t="s">
        <v>294</v>
      </c>
      <c r="F291" s="240">
        <v>5</v>
      </c>
      <c r="G291" s="240" t="s">
        <v>295</v>
      </c>
      <c r="H291" s="240" t="s">
        <v>295</v>
      </c>
      <c r="I291" s="240" t="s">
        <v>295</v>
      </c>
      <c r="J291" s="240">
        <v>5</v>
      </c>
      <c r="K291" s="240">
        <v>5</v>
      </c>
      <c r="L291" s="333"/>
      <c r="M291" s="144"/>
      <c r="O291" s="258"/>
    </row>
    <row r="292" spans="2:15" ht="15.75" thickBot="1">
      <c r="B292" s="128">
        <v>297</v>
      </c>
      <c r="C292" s="239" t="s">
        <v>615</v>
      </c>
      <c r="D292" s="240" t="s">
        <v>293</v>
      </c>
      <c r="E292" s="240" t="s">
        <v>294</v>
      </c>
      <c r="F292" s="240">
        <v>4</v>
      </c>
      <c r="G292" s="240" t="s">
        <v>295</v>
      </c>
      <c r="H292" s="240" t="s">
        <v>295</v>
      </c>
      <c r="I292" s="240" t="s">
        <v>295</v>
      </c>
      <c r="J292" s="240">
        <v>4</v>
      </c>
      <c r="K292" s="240">
        <v>5</v>
      </c>
      <c r="L292" s="333"/>
      <c r="M292" s="144"/>
      <c r="O292" s="258"/>
    </row>
    <row r="293" spans="2:15">
      <c r="B293" s="125">
        <v>298</v>
      </c>
      <c r="C293" s="239" t="s">
        <v>616</v>
      </c>
      <c r="D293" s="240" t="s">
        <v>293</v>
      </c>
      <c r="E293" s="240" t="s">
        <v>294</v>
      </c>
      <c r="F293" s="240">
        <v>5</v>
      </c>
      <c r="G293" s="240" t="s">
        <v>295</v>
      </c>
      <c r="H293" s="240" t="s">
        <v>295</v>
      </c>
      <c r="I293" s="240" t="s">
        <v>295</v>
      </c>
      <c r="J293" s="240">
        <v>5</v>
      </c>
      <c r="K293" s="240">
        <v>5</v>
      </c>
      <c r="L293" s="333"/>
      <c r="M293" s="144"/>
      <c r="O293" s="258"/>
    </row>
    <row r="294" spans="2:15">
      <c r="B294" s="128">
        <v>299</v>
      </c>
      <c r="C294" s="210" t="s">
        <v>617</v>
      </c>
      <c r="D294" s="217" t="s">
        <v>293</v>
      </c>
      <c r="E294" s="217" t="s">
        <v>294</v>
      </c>
      <c r="F294" s="217">
        <v>5</v>
      </c>
      <c r="G294" s="217" t="s">
        <v>295</v>
      </c>
      <c r="H294" s="217" t="s">
        <v>295</v>
      </c>
      <c r="I294" s="217" t="s">
        <v>295</v>
      </c>
      <c r="J294" s="217">
        <v>5</v>
      </c>
      <c r="K294" s="217">
        <v>5</v>
      </c>
      <c r="L294" s="333"/>
      <c r="M294" s="144"/>
    </row>
    <row r="295" spans="2:15" ht="15.75" thickBot="1">
      <c r="B295" s="128">
        <v>300</v>
      </c>
      <c r="C295" s="211" t="s">
        <v>618</v>
      </c>
      <c r="D295" s="218" t="s">
        <v>293</v>
      </c>
      <c r="E295" s="218" t="s">
        <v>294</v>
      </c>
      <c r="F295" s="218">
        <v>5</v>
      </c>
      <c r="G295" s="218" t="s">
        <v>295</v>
      </c>
      <c r="H295" s="236" t="s">
        <v>295</v>
      </c>
      <c r="I295" s="236" t="s">
        <v>295</v>
      </c>
      <c r="J295" s="218">
        <v>5</v>
      </c>
      <c r="K295" s="218">
        <v>5</v>
      </c>
      <c r="L295" s="333"/>
      <c r="M295" s="144"/>
      <c r="N295" s="144"/>
    </row>
    <row r="296" spans="2:15">
      <c r="B296" s="125">
        <v>301</v>
      </c>
      <c r="C296" s="211" t="s">
        <v>619</v>
      </c>
      <c r="D296" s="218" t="s">
        <v>320</v>
      </c>
      <c r="E296" s="218" t="s">
        <v>294</v>
      </c>
      <c r="F296" s="218">
        <v>5</v>
      </c>
      <c r="G296" s="218" t="s">
        <v>295</v>
      </c>
      <c r="H296" s="236" t="s">
        <v>295</v>
      </c>
      <c r="I296" s="236" t="s">
        <v>295</v>
      </c>
      <c r="J296" s="218">
        <v>5</v>
      </c>
      <c r="K296" s="218">
        <v>5</v>
      </c>
      <c r="L296" s="333"/>
      <c r="M296" s="144"/>
      <c r="N296" s="144"/>
    </row>
    <row r="297" spans="2:15">
      <c r="B297" s="128">
        <v>302</v>
      </c>
      <c r="C297" s="211" t="s">
        <v>620</v>
      </c>
      <c r="D297" s="218" t="s">
        <v>293</v>
      </c>
      <c r="E297" s="218" t="s">
        <v>294</v>
      </c>
      <c r="F297" s="218">
        <v>5</v>
      </c>
      <c r="G297" s="218" t="s">
        <v>295</v>
      </c>
      <c r="H297" s="236" t="s">
        <v>295</v>
      </c>
      <c r="I297" s="236" t="s">
        <v>295</v>
      </c>
      <c r="J297" s="218">
        <v>5</v>
      </c>
      <c r="K297" s="218">
        <v>5</v>
      </c>
      <c r="L297" s="333"/>
      <c r="M297" s="144"/>
      <c r="N297" s="144"/>
    </row>
    <row r="298" spans="2:15" ht="15.75" thickBot="1">
      <c r="B298" s="128">
        <v>303</v>
      </c>
      <c r="C298" s="211" t="s">
        <v>621</v>
      </c>
      <c r="D298" s="218" t="s">
        <v>293</v>
      </c>
      <c r="E298" s="218" t="s">
        <v>294</v>
      </c>
      <c r="F298" s="218">
        <v>5</v>
      </c>
      <c r="G298" s="218" t="s">
        <v>295</v>
      </c>
      <c r="H298" s="236" t="s">
        <v>295</v>
      </c>
      <c r="I298" s="236" t="s">
        <v>295</v>
      </c>
      <c r="J298" s="218">
        <v>5</v>
      </c>
      <c r="K298" s="218">
        <v>5</v>
      </c>
      <c r="L298" s="333"/>
      <c r="M298" s="144"/>
      <c r="N298" s="144"/>
    </row>
    <row r="299" spans="2:15" ht="15.75" thickBot="1">
      <c r="B299" s="125">
        <v>304</v>
      </c>
      <c r="C299" s="219" t="s">
        <v>624</v>
      </c>
      <c r="D299" s="220" t="s">
        <v>293</v>
      </c>
      <c r="E299" s="220" t="s">
        <v>294</v>
      </c>
      <c r="F299" s="220">
        <v>5</v>
      </c>
      <c r="G299" s="220" t="s">
        <v>295</v>
      </c>
      <c r="H299" s="241" t="s">
        <v>295</v>
      </c>
      <c r="I299" s="241" t="s">
        <v>295</v>
      </c>
      <c r="J299" s="220">
        <v>5</v>
      </c>
      <c r="K299" s="220">
        <v>5</v>
      </c>
      <c r="L299" s="334"/>
      <c r="M299" s="144"/>
      <c r="N299" s="144"/>
    </row>
  </sheetData>
  <mergeCells count="23">
    <mergeCell ref="S9:T9"/>
    <mergeCell ref="L225:L247"/>
    <mergeCell ref="L20:L33"/>
    <mergeCell ref="L34:L69"/>
    <mergeCell ref="Q40:T40"/>
    <mergeCell ref="L70:L102"/>
    <mergeCell ref="Q79:T79"/>
    <mergeCell ref="L248:L279"/>
    <mergeCell ref="L280:L299"/>
    <mergeCell ref="S279:V279"/>
    <mergeCell ref="A1:Y1"/>
    <mergeCell ref="A2:Y2"/>
    <mergeCell ref="L148:L169"/>
    <mergeCell ref="S169:V169"/>
    <mergeCell ref="L170:L213"/>
    <mergeCell ref="L214:L224"/>
    <mergeCell ref="S217:V217"/>
    <mergeCell ref="L103:L147"/>
    <mergeCell ref="S128:V128"/>
    <mergeCell ref="L3:L18"/>
    <mergeCell ref="S5:V5"/>
    <mergeCell ref="S7:T7"/>
    <mergeCell ref="S8:T8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3" orientation="landscape" horizontalDpi="180" verticalDpi="180" r:id="rId1"/>
  <rowBreaks count="2" manualBreakCount="2">
    <brk id="77" max="24" man="1"/>
    <brk id="251" max="2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P16"/>
  <sheetViews>
    <sheetView view="pageBreakPreview" zoomScale="115" zoomScaleNormal="100" zoomScaleSheetLayoutView="115" workbookViewId="0">
      <selection activeCell="AB10" sqref="AB10"/>
    </sheetView>
  </sheetViews>
  <sheetFormatPr defaultColWidth="9.140625" defaultRowHeight="15"/>
  <cols>
    <col min="1" max="1" width="6.85546875" style="25" customWidth="1"/>
    <col min="2" max="2" width="20.7109375" style="25" customWidth="1"/>
    <col min="3" max="3" width="7" style="25" hidden="1" customWidth="1"/>
    <col min="4" max="6" width="5.140625" style="25" hidden="1" customWidth="1"/>
    <col min="7" max="7" width="7.42578125" style="25" hidden="1" customWidth="1"/>
    <col min="8" max="8" width="5.42578125" style="25" hidden="1" customWidth="1"/>
    <col min="9" max="9" width="7.42578125" style="25" hidden="1" customWidth="1"/>
    <col min="10" max="10" width="5.42578125" style="25" hidden="1" customWidth="1"/>
    <col min="11" max="11" width="7.42578125" style="25" hidden="1" customWidth="1"/>
    <col min="12" max="12" width="5.42578125" style="25" hidden="1" customWidth="1"/>
    <col min="13" max="13" width="7" style="25" hidden="1" customWidth="1"/>
    <col min="14" max="14" width="5" style="25" hidden="1" customWidth="1"/>
    <col min="15" max="15" width="7" style="25" hidden="1" customWidth="1"/>
    <col min="16" max="16" width="7.140625" style="25" hidden="1" customWidth="1"/>
    <col min="17" max="17" width="7" style="25" hidden="1" customWidth="1"/>
    <col min="18" max="18" width="5.140625" style="25" hidden="1" customWidth="1"/>
    <col min="19" max="19" width="7" style="25" hidden="1" customWidth="1"/>
    <col min="20" max="20" width="5.140625" style="25" hidden="1" customWidth="1"/>
    <col min="21" max="22" width="7.28515625" style="25" hidden="1" customWidth="1"/>
    <col min="23" max="23" width="7" style="25" hidden="1" customWidth="1"/>
    <col min="24" max="24" width="5.140625" style="25" hidden="1" customWidth="1"/>
    <col min="25" max="26" width="14.28515625" style="25" hidden="1" customWidth="1"/>
    <col min="27" max="28" width="20.7109375" style="25" customWidth="1"/>
    <col min="29" max="35" width="20.7109375" style="25" hidden="1" customWidth="1"/>
    <col min="36" max="36" width="20.5703125" style="25" hidden="1" customWidth="1"/>
    <col min="37" max="41" width="20.7109375" style="25" hidden="1" customWidth="1"/>
    <col min="42" max="42" width="19.5703125" style="25" customWidth="1"/>
    <col min="43" max="16384" width="9.140625" style="25"/>
  </cols>
  <sheetData>
    <row r="1" spans="1:42" ht="78" customHeight="1">
      <c r="A1" s="298" t="s">
        <v>176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  <c r="AM1" s="298"/>
      <c r="AN1" s="298"/>
      <c r="AO1" s="298"/>
      <c r="AP1" s="298"/>
    </row>
    <row r="2" spans="1:42" ht="15.75">
      <c r="A2" s="299" t="s">
        <v>632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</row>
    <row r="3" spans="1:42" ht="15.75">
      <c r="A3" s="299" t="s">
        <v>201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</row>
    <row r="4" spans="1:42" ht="34.5" customHeight="1">
      <c r="A4" s="304" t="s">
        <v>202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4"/>
    </row>
    <row r="5" spans="1:42" ht="36.75" customHeight="1">
      <c r="A5" s="303" t="s">
        <v>182</v>
      </c>
      <c r="B5" s="69" t="s">
        <v>191</v>
      </c>
      <c r="C5" s="301" t="s">
        <v>231</v>
      </c>
      <c r="D5" s="302"/>
      <c r="E5" s="301" t="s">
        <v>184</v>
      </c>
      <c r="F5" s="302"/>
      <c r="G5" s="301" t="s">
        <v>232</v>
      </c>
      <c r="H5" s="302"/>
      <c r="I5" s="301" t="s">
        <v>185</v>
      </c>
      <c r="J5" s="302"/>
      <c r="K5" s="301" t="s">
        <v>233</v>
      </c>
      <c r="L5" s="302"/>
      <c r="M5" s="301" t="s">
        <v>234</v>
      </c>
      <c r="N5" s="302"/>
      <c r="O5" s="301" t="s">
        <v>235</v>
      </c>
      <c r="P5" s="302"/>
      <c r="Q5" s="301" t="s">
        <v>187</v>
      </c>
      <c r="R5" s="302"/>
      <c r="S5" s="301" t="s">
        <v>236</v>
      </c>
      <c r="T5" s="302"/>
      <c r="U5" s="301" t="s">
        <v>237</v>
      </c>
      <c r="V5" s="302"/>
      <c r="W5" s="301" t="s">
        <v>238</v>
      </c>
      <c r="X5" s="302"/>
      <c r="Y5" s="301" t="s">
        <v>239</v>
      </c>
      <c r="Z5" s="302"/>
      <c r="AA5" s="303" t="s">
        <v>190</v>
      </c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303"/>
    </row>
    <row r="6" spans="1:42" ht="45" customHeight="1">
      <c r="A6" s="303"/>
      <c r="B6" s="277" t="s">
        <v>200</v>
      </c>
      <c r="C6" s="63" t="s">
        <v>181</v>
      </c>
      <c r="D6" s="63">
        <v>2016</v>
      </c>
      <c r="E6" s="63" t="s">
        <v>181</v>
      </c>
      <c r="F6" s="63">
        <v>2016</v>
      </c>
      <c r="G6" s="63" t="s">
        <v>181</v>
      </c>
      <c r="H6" s="63">
        <v>2016</v>
      </c>
      <c r="I6" s="63" t="s">
        <v>181</v>
      </c>
      <c r="J6" s="63">
        <v>2016</v>
      </c>
      <c r="K6" s="63" t="s">
        <v>181</v>
      </c>
      <c r="L6" s="63">
        <v>2016</v>
      </c>
      <c r="M6" s="63" t="s">
        <v>181</v>
      </c>
      <c r="N6" s="63">
        <v>2016</v>
      </c>
      <c r="O6" s="63" t="s">
        <v>181</v>
      </c>
      <c r="P6" s="63">
        <v>2016</v>
      </c>
      <c r="Q6" s="63" t="s">
        <v>181</v>
      </c>
      <c r="R6" s="63">
        <v>2016</v>
      </c>
      <c r="S6" s="63" t="s">
        <v>181</v>
      </c>
      <c r="T6" s="63">
        <v>2016</v>
      </c>
      <c r="U6" s="63" t="s">
        <v>181</v>
      </c>
      <c r="V6" s="63">
        <v>2016</v>
      </c>
      <c r="W6" s="63" t="s">
        <v>181</v>
      </c>
      <c r="X6" s="63">
        <v>2016</v>
      </c>
      <c r="Y6" s="63" t="s">
        <v>181</v>
      </c>
      <c r="Z6" s="63">
        <v>2016</v>
      </c>
      <c r="AA6" s="261" t="s">
        <v>631</v>
      </c>
      <c r="AB6" s="261" t="s">
        <v>647</v>
      </c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6" t="s">
        <v>77</v>
      </c>
    </row>
    <row r="7" spans="1:42">
      <c r="A7" s="120">
        <v>1</v>
      </c>
      <c r="B7" s="120">
        <v>2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>
        <v>3</v>
      </c>
      <c r="AB7" s="122">
        <v>4</v>
      </c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0">
        <v>5</v>
      </c>
    </row>
    <row r="8" spans="1:42">
      <c r="A8" s="246" t="s">
        <v>123</v>
      </c>
      <c r="B8" s="244" t="s">
        <v>155</v>
      </c>
      <c r="C8" s="97">
        <v>3126</v>
      </c>
      <c r="D8" s="97">
        <v>3061</v>
      </c>
      <c r="E8" s="97">
        <v>251</v>
      </c>
      <c r="F8" s="97">
        <v>236</v>
      </c>
      <c r="G8" s="98">
        <v>2892</v>
      </c>
      <c r="H8" s="98">
        <v>2855</v>
      </c>
      <c r="I8" s="98">
        <v>2591</v>
      </c>
      <c r="J8" s="98">
        <v>2607</v>
      </c>
      <c r="K8" s="98">
        <v>3005</v>
      </c>
      <c r="L8" s="98">
        <v>3045</v>
      </c>
      <c r="M8" s="98">
        <v>39</v>
      </c>
      <c r="N8" s="98">
        <v>44</v>
      </c>
      <c r="O8" s="98">
        <v>44</v>
      </c>
      <c r="P8" s="98">
        <v>366</v>
      </c>
      <c r="Q8" s="98">
        <v>2614</v>
      </c>
      <c r="R8" s="98">
        <v>2595</v>
      </c>
      <c r="S8" s="98">
        <v>121</v>
      </c>
      <c r="T8" s="98">
        <v>187</v>
      </c>
      <c r="U8" s="98">
        <v>3545</v>
      </c>
      <c r="V8" s="98">
        <v>2732</v>
      </c>
      <c r="W8" s="98">
        <v>1738</v>
      </c>
      <c r="X8" s="98">
        <v>2058</v>
      </c>
      <c r="Y8" s="98">
        <f>1570-259</f>
        <v>1311</v>
      </c>
      <c r="Z8" s="98">
        <v>1526</v>
      </c>
      <c r="AA8" s="260">
        <v>28494</v>
      </c>
      <c r="AB8" s="110">
        <v>27695</v>
      </c>
      <c r="AC8" s="67"/>
      <c r="AD8" s="67"/>
      <c r="AE8" s="67"/>
      <c r="AF8" s="67"/>
      <c r="AG8" s="67"/>
      <c r="AH8" s="67"/>
      <c r="AI8" s="67"/>
      <c r="AJ8" s="67" t="s">
        <v>184</v>
      </c>
      <c r="AK8" s="67" t="s">
        <v>185</v>
      </c>
      <c r="AL8" s="67" t="s">
        <v>186</v>
      </c>
      <c r="AM8" s="67" t="s">
        <v>187</v>
      </c>
      <c r="AN8" s="67" t="s">
        <v>188</v>
      </c>
      <c r="AO8" s="67" t="s">
        <v>189</v>
      </c>
      <c r="AP8" s="245">
        <f>(AB8-AA8)/AA8*100</f>
        <v>-2.8040991085842633</v>
      </c>
    </row>
    <row r="9" spans="1:42">
      <c r="A9" s="246" t="s">
        <v>195</v>
      </c>
      <c r="B9" s="68" t="s">
        <v>154</v>
      </c>
      <c r="C9" s="98">
        <v>257</v>
      </c>
      <c r="D9" s="98">
        <v>274</v>
      </c>
      <c r="E9" s="98">
        <v>61</v>
      </c>
      <c r="F9" s="98">
        <v>70</v>
      </c>
      <c r="G9" s="98">
        <v>270</v>
      </c>
      <c r="H9" s="98">
        <v>278</v>
      </c>
      <c r="I9" s="98">
        <v>318</v>
      </c>
      <c r="J9" s="98">
        <v>300</v>
      </c>
      <c r="K9" s="98">
        <v>276</v>
      </c>
      <c r="L9" s="98">
        <v>276</v>
      </c>
      <c r="M9" s="98">
        <v>0</v>
      </c>
      <c r="N9" s="98">
        <v>0</v>
      </c>
      <c r="O9" s="98">
        <v>0</v>
      </c>
      <c r="P9" s="98">
        <v>21</v>
      </c>
      <c r="Q9" s="98">
        <v>284</v>
      </c>
      <c r="R9" s="98">
        <v>285</v>
      </c>
      <c r="S9" s="98">
        <v>11</v>
      </c>
      <c r="T9" s="98">
        <v>14</v>
      </c>
      <c r="U9" s="98">
        <v>281</v>
      </c>
      <c r="V9" s="98">
        <v>289</v>
      </c>
      <c r="W9" s="98">
        <v>221</v>
      </c>
      <c r="X9" s="98">
        <v>224</v>
      </c>
      <c r="Y9" s="98">
        <v>259</v>
      </c>
      <c r="Z9" s="98">
        <v>255</v>
      </c>
      <c r="AA9" s="260">
        <v>3356</v>
      </c>
      <c r="AB9" s="62">
        <v>3380</v>
      </c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245">
        <f>(AB9-AA9)/AA9*100</f>
        <v>0.71513706793802145</v>
      </c>
    </row>
    <row r="10" spans="1:42" ht="45">
      <c r="A10" s="246" t="s">
        <v>131</v>
      </c>
      <c r="B10" s="68" t="s">
        <v>192</v>
      </c>
      <c r="C10" s="98">
        <v>22</v>
      </c>
      <c r="D10" s="98">
        <v>22</v>
      </c>
      <c r="E10" s="98">
        <v>0</v>
      </c>
      <c r="F10" s="98">
        <v>0</v>
      </c>
      <c r="G10" s="98">
        <v>2</v>
      </c>
      <c r="H10" s="98">
        <v>2</v>
      </c>
      <c r="I10" s="98">
        <v>47</v>
      </c>
      <c r="J10" s="98">
        <v>49</v>
      </c>
      <c r="K10" s="98">
        <v>0</v>
      </c>
      <c r="L10" s="98">
        <v>25</v>
      </c>
      <c r="M10" s="98">
        <v>0</v>
      </c>
      <c r="N10" s="98">
        <v>0</v>
      </c>
      <c r="O10" s="98">
        <v>0</v>
      </c>
      <c r="P10" s="98">
        <v>0</v>
      </c>
      <c r="Q10" s="98">
        <v>0</v>
      </c>
      <c r="R10" s="98">
        <v>0</v>
      </c>
      <c r="S10" s="98">
        <v>1</v>
      </c>
      <c r="T10" s="98">
        <v>1</v>
      </c>
      <c r="U10" s="98">
        <v>24</v>
      </c>
      <c r="V10" s="98">
        <v>24</v>
      </c>
      <c r="W10" s="98">
        <v>0</v>
      </c>
      <c r="X10" s="98">
        <v>0</v>
      </c>
      <c r="Y10" s="98">
        <v>53</v>
      </c>
      <c r="Z10" s="98">
        <v>53</v>
      </c>
      <c r="AA10" s="260">
        <v>354</v>
      </c>
      <c r="AB10" s="62">
        <v>447</v>
      </c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245">
        <f>(AB10-AA10)/AA10*100</f>
        <v>26.271186440677969</v>
      </c>
    </row>
    <row r="11" spans="1:42" ht="47.25" customHeight="1">
      <c r="A11" s="246" t="s">
        <v>196</v>
      </c>
      <c r="B11" s="68" t="s">
        <v>193</v>
      </c>
      <c r="C11" s="98">
        <v>0</v>
      </c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8">
        <v>0</v>
      </c>
      <c r="N11" s="98">
        <v>0</v>
      </c>
      <c r="O11" s="98">
        <v>0</v>
      </c>
      <c r="P11" s="98">
        <v>0</v>
      </c>
      <c r="Q11" s="98">
        <v>0</v>
      </c>
      <c r="R11" s="98">
        <v>0</v>
      </c>
      <c r="S11" s="98">
        <v>0</v>
      </c>
      <c r="T11" s="98">
        <v>0</v>
      </c>
      <c r="U11" s="98">
        <v>0</v>
      </c>
      <c r="V11" s="98">
        <v>0</v>
      </c>
      <c r="W11" s="98">
        <v>0</v>
      </c>
      <c r="X11" s="98">
        <v>0</v>
      </c>
      <c r="Y11" s="98">
        <v>0</v>
      </c>
      <c r="Z11" s="98">
        <v>0</v>
      </c>
      <c r="AA11" s="260">
        <v>0</v>
      </c>
      <c r="AB11" s="62">
        <v>0</v>
      </c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245">
        <v>0</v>
      </c>
    </row>
    <row r="12" spans="1:42">
      <c r="A12" s="246" t="s">
        <v>197</v>
      </c>
      <c r="B12" s="68" t="s">
        <v>194</v>
      </c>
      <c r="C12" s="98">
        <f>SUM(C8:C11)</f>
        <v>3405</v>
      </c>
      <c r="D12" s="98">
        <f t="shared" ref="D12:Z12" si="0">SUM(D8:D11)</f>
        <v>3357</v>
      </c>
      <c r="E12" s="98">
        <f t="shared" si="0"/>
        <v>312</v>
      </c>
      <c r="F12" s="98">
        <f t="shared" si="0"/>
        <v>306</v>
      </c>
      <c r="G12" s="98">
        <f t="shared" si="0"/>
        <v>3164</v>
      </c>
      <c r="H12" s="98">
        <f t="shared" si="0"/>
        <v>3135</v>
      </c>
      <c r="I12" s="98">
        <f t="shared" si="0"/>
        <v>2956</v>
      </c>
      <c r="J12" s="98">
        <f t="shared" si="0"/>
        <v>2956</v>
      </c>
      <c r="K12" s="98">
        <f t="shared" si="0"/>
        <v>3281</v>
      </c>
      <c r="L12" s="98">
        <f t="shared" si="0"/>
        <v>3346</v>
      </c>
      <c r="M12" s="98">
        <f t="shared" si="0"/>
        <v>39</v>
      </c>
      <c r="N12" s="98">
        <f t="shared" si="0"/>
        <v>44</v>
      </c>
      <c r="O12" s="98">
        <f t="shared" si="0"/>
        <v>44</v>
      </c>
      <c r="P12" s="98">
        <f t="shared" si="0"/>
        <v>387</v>
      </c>
      <c r="Q12" s="98">
        <f t="shared" si="0"/>
        <v>2898</v>
      </c>
      <c r="R12" s="98">
        <f t="shared" si="0"/>
        <v>2880</v>
      </c>
      <c r="S12" s="98">
        <f t="shared" si="0"/>
        <v>133</v>
      </c>
      <c r="T12" s="98">
        <f t="shared" si="0"/>
        <v>202</v>
      </c>
      <c r="U12" s="98">
        <f t="shared" si="0"/>
        <v>3850</v>
      </c>
      <c r="V12" s="98">
        <f t="shared" si="0"/>
        <v>3045</v>
      </c>
      <c r="W12" s="98">
        <f t="shared" si="0"/>
        <v>1959</v>
      </c>
      <c r="X12" s="98">
        <f t="shared" si="0"/>
        <v>2282</v>
      </c>
      <c r="Y12" s="98">
        <f t="shared" si="0"/>
        <v>1623</v>
      </c>
      <c r="Z12" s="98">
        <f t="shared" si="0"/>
        <v>1834</v>
      </c>
      <c r="AA12" s="260">
        <f>SUM(AA8:AA11)</f>
        <v>32204</v>
      </c>
      <c r="AB12" s="123">
        <f>SUM(AB8:AB11)</f>
        <v>31522</v>
      </c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245">
        <f>(AB12-AA12)/AA12*100</f>
        <v>-2.1177493479070923</v>
      </c>
    </row>
    <row r="13" spans="1:42" ht="60">
      <c r="A13" s="246" t="s">
        <v>198</v>
      </c>
      <c r="B13" s="68" t="s">
        <v>199</v>
      </c>
      <c r="C13" s="96">
        <v>0</v>
      </c>
      <c r="D13" s="96">
        <v>0</v>
      </c>
      <c r="E13" s="98"/>
      <c r="F13" s="98"/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0</v>
      </c>
      <c r="U13" s="66">
        <v>15</v>
      </c>
      <c r="V13" s="66">
        <v>15</v>
      </c>
      <c r="W13" s="66">
        <v>0</v>
      </c>
      <c r="X13" s="66">
        <v>14</v>
      </c>
      <c r="Y13" s="66">
        <v>0</v>
      </c>
      <c r="Z13" s="66">
        <v>16</v>
      </c>
      <c r="AA13" s="260">
        <f>42+2060</f>
        <v>2102</v>
      </c>
      <c r="AB13" s="62">
        <v>3145</v>
      </c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245">
        <f>(AB13-AA13)/AA13*100</f>
        <v>49.61941008563273</v>
      </c>
    </row>
    <row r="14" spans="1:42">
      <c r="Q14" s="65"/>
      <c r="R14" s="65"/>
      <c r="S14" s="65"/>
      <c r="T14" s="65"/>
      <c r="U14" s="65"/>
      <c r="V14" s="65"/>
    </row>
    <row r="15" spans="1:42">
      <c r="Q15" s="95"/>
      <c r="R15" s="95"/>
    </row>
    <row r="16" spans="1:42">
      <c r="B16" s="25" t="s">
        <v>633</v>
      </c>
    </row>
  </sheetData>
  <mergeCells count="18">
    <mergeCell ref="E5:F5"/>
    <mergeCell ref="A1:AP1"/>
    <mergeCell ref="A2:AP2"/>
    <mergeCell ref="A3:AP3"/>
    <mergeCell ref="A5:A6"/>
    <mergeCell ref="AA5:AP5"/>
    <mergeCell ref="A4:AP4"/>
    <mergeCell ref="C5:D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6"/>
  <sheetViews>
    <sheetView tabSelected="1" view="pageBreakPreview" zoomScaleNormal="100" zoomScaleSheetLayoutView="100" workbookViewId="0">
      <selection activeCell="A35" sqref="A35"/>
    </sheetView>
  </sheetViews>
  <sheetFormatPr defaultColWidth="9.140625" defaultRowHeight="15"/>
  <cols>
    <col min="1" max="1" width="195.85546875" style="2" customWidth="1"/>
    <col min="2" max="16384" width="9.140625" style="2"/>
  </cols>
  <sheetData>
    <row r="1" spans="1:1" ht="15.75">
      <c r="A1" s="49" t="s">
        <v>93</v>
      </c>
    </row>
    <row r="2" spans="1:1">
      <c r="A2" s="2" t="s">
        <v>285</v>
      </c>
    </row>
    <row r="3" spans="1:1">
      <c r="A3" s="2" t="s">
        <v>629</v>
      </c>
    </row>
    <row r="4" spans="1:1">
      <c r="A4" s="2" t="s">
        <v>282</v>
      </c>
    </row>
    <row r="5" spans="1:1">
      <c r="A5" s="2" t="s">
        <v>283</v>
      </c>
    </row>
    <row r="6" spans="1:1">
      <c r="A6" s="2" t="s">
        <v>284</v>
      </c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17"/>
  <sheetViews>
    <sheetView zoomScale="85" zoomScaleNormal="85" zoomScaleSheetLayoutView="85" workbookViewId="0">
      <selection activeCell="N29" sqref="N29"/>
    </sheetView>
  </sheetViews>
  <sheetFormatPr defaultColWidth="9.140625" defaultRowHeight="15"/>
  <cols>
    <col min="1" max="2" width="9.140625" style="2"/>
    <col min="3" max="3" width="11" style="2" customWidth="1"/>
    <col min="4" max="29" width="9.140625" style="2"/>
    <col min="30" max="30" width="31.85546875" style="2" customWidth="1"/>
    <col min="31" max="16384" width="9.140625" style="2"/>
  </cols>
  <sheetData>
    <row r="1" spans="1:31" ht="15.75">
      <c r="A1" s="49" t="s">
        <v>122</v>
      </c>
    </row>
    <row r="3" spans="1:31" ht="45" customHeight="1">
      <c r="A3" s="315" t="s">
        <v>0</v>
      </c>
      <c r="B3" s="315" t="s">
        <v>94</v>
      </c>
      <c r="C3" s="315" t="s">
        <v>95</v>
      </c>
      <c r="D3" s="315" t="s">
        <v>96</v>
      </c>
      <c r="E3" s="315" t="s">
        <v>97</v>
      </c>
      <c r="F3" s="315"/>
      <c r="G3" s="315"/>
      <c r="H3" s="315"/>
      <c r="I3" s="315"/>
      <c r="J3" s="315" t="s">
        <v>98</v>
      </c>
      <c r="K3" s="315"/>
      <c r="L3" s="315"/>
      <c r="M3" s="315"/>
      <c r="N3" s="315"/>
      <c r="O3" s="315"/>
      <c r="P3" s="315" t="s">
        <v>99</v>
      </c>
      <c r="Q3" s="315"/>
      <c r="R3" s="315"/>
      <c r="S3" s="315"/>
      <c r="T3" s="315"/>
      <c r="U3" s="315"/>
      <c r="V3" s="315"/>
      <c r="W3" s="315" t="s">
        <v>100</v>
      </c>
      <c r="X3" s="315"/>
      <c r="Y3" s="315"/>
      <c r="Z3" s="315"/>
      <c r="AA3" s="315" t="s">
        <v>101</v>
      </c>
      <c r="AB3" s="315"/>
      <c r="AC3" s="315"/>
      <c r="AD3" s="315" t="s">
        <v>102</v>
      </c>
      <c r="AE3" s="315"/>
    </row>
    <row r="4" spans="1:31" ht="150">
      <c r="A4" s="315"/>
      <c r="B4" s="315"/>
      <c r="C4" s="315"/>
      <c r="D4" s="315"/>
      <c r="E4" s="3" t="s">
        <v>103</v>
      </c>
      <c r="F4" s="3" t="s">
        <v>104</v>
      </c>
      <c r="G4" s="3" t="s">
        <v>105</v>
      </c>
      <c r="H4" s="3" t="s">
        <v>106</v>
      </c>
      <c r="I4" s="3" t="s">
        <v>43</v>
      </c>
      <c r="J4" s="3" t="s">
        <v>107</v>
      </c>
      <c r="K4" s="3" t="s">
        <v>108</v>
      </c>
      <c r="L4" s="3" t="s">
        <v>109</v>
      </c>
      <c r="M4" s="3" t="s">
        <v>110</v>
      </c>
      <c r="N4" s="3" t="s">
        <v>111</v>
      </c>
      <c r="O4" s="3" t="s">
        <v>43</v>
      </c>
      <c r="P4" s="3" t="s">
        <v>112</v>
      </c>
      <c r="Q4" s="3" t="s">
        <v>113</v>
      </c>
      <c r="R4" s="3" t="s">
        <v>108</v>
      </c>
      <c r="S4" s="3" t="s">
        <v>109</v>
      </c>
      <c r="T4" s="3" t="s">
        <v>110</v>
      </c>
      <c r="U4" s="3" t="s">
        <v>111</v>
      </c>
      <c r="V4" s="3" t="s">
        <v>43</v>
      </c>
      <c r="W4" s="3" t="s">
        <v>114</v>
      </c>
      <c r="X4" s="3" t="s">
        <v>115</v>
      </c>
      <c r="Y4" s="3" t="s">
        <v>116</v>
      </c>
      <c r="Z4" s="3" t="s">
        <v>43</v>
      </c>
      <c r="AA4" s="3" t="s">
        <v>117</v>
      </c>
      <c r="AB4" s="3" t="s">
        <v>118</v>
      </c>
      <c r="AC4" s="3" t="s">
        <v>119</v>
      </c>
      <c r="AD4" s="3" t="s">
        <v>120</v>
      </c>
      <c r="AE4" s="3" t="s">
        <v>121</v>
      </c>
    </row>
    <row r="5" spans="1:3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  <c r="Q5" s="3">
        <v>17</v>
      </c>
      <c r="R5" s="3">
        <v>18</v>
      </c>
      <c r="S5" s="3">
        <v>19</v>
      </c>
      <c r="T5" s="3">
        <v>20</v>
      </c>
      <c r="U5" s="3">
        <v>21</v>
      </c>
      <c r="V5" s="3">
        <v>22</v>
      </c>
      <c r="W5" s="3">
        <v>23</v>
      </c>
      <c r="X5" s="3">
        <v>24</v>
      </c>
      <c r="Y5" s="3">
        <v>25</v>
      </c>
      <c r="Z5" s="3">
        <v>26</v>
      </c>
      <c r="AA5" s="3">
        <v>27</v>
      </c>
      <c r="AB5" s="3">
        <v>28</v>
      </c>
      <c r="AC5" s="3">
        <v>29</v>
      </c>
      <c r="AD5" s="3">
        <v>30</v>
      </c>
      <c r="AE5" s="3">
        <v>31</v>
      </c>
    </row>
    <row r="6" spans="1:31">
      <c r="A6" s="56">
        <v>1</v>
      </c>
      <c r="B6" s="56">
        <v>0</v>
      </c>
      <c r="C6" s="56">
        <v>0</v>
      </c>
      <c r="D6" s="56">
        <v>0</v>
      </c>
      <c r="E6" s="56">
        <v>0</v>
      </c>
      <c r="F6" s="56">
        <v>0</v>
      </c>
      <c r="G6" s="56">
        <v>0</v>
      </c>
      <c r="H6" s="56">
        <v>0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6">
        <v>0</v>
      </c>
      <c r="O6" s="56">
        <v>0</v>
      </c>
      <c r="P6" s="56">
        <v>0</v>
      </c>
      <c r="Q6" s="56">
        <v>0</v>
      </c>
      <c r="R6" s="56">
        <v>0</v>
      </c>
      <c r="S6" s="56">
        <v>0</v>
      </c>
      <c r="T6" s="56">
        <v>0</v>
      </c>
      <c r="U6" s="56">
        <v>0</v>
      </c>
      <c r="V6" s="56">
        <v>0</v>
      </c>
      <c r="W6" s="56">
        <v>0</v>
      </c>
      <c r="X6" s="56">
        <v>0</v>
      </c>
      <c r="Y6" s="56">
        <v>0</v>
      </c>
      <c r="Z6" s="56">
        <v>0</v>
      </c>
      <c r="AA6" s="56">
        <v>0</v>
      </c>
      <c r="AB6" s="56">
        <v>0</v>
      </c>
      <c r="AC6" s="56">
        <v>0</v>
      </c>
      <c r="AD6" s="56" t="s">
        <v>179</v>
      </c>
      <c r="AE6" s="56" t="s">
        <v>179</v>
      </c>
    </row>
    <row r="7" spans="1:31" s="16" customFormat="1" ht="28.5" customHeight="1">
      <c r="A7" s="71">
        <f>+A6+1</f>
        <v>2</v>
      </c>
      <c r="B7" s="15"/>
      <c r="C7" s="3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</row>
    <row r="8" spans="1:31" s="16" customFormat="1" ht="28.5" customHeight="1">
      <c r="A8" s="71">
        <f t="shared" ref="A8:A16" si="0">+A7+1</f>
        <v>3</v>
      </c>
      <c r="B8" s="36"/>
      <c r="C8" s="37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8"/>
      <c r="AE8" s="36"/>
    </row>
    <row r="9" spans="1:31" s="16" customFormat="1" ht="28.5" customHeight="1">
      <c r="A9" s="71">
        <f t="shared" si="0"/>
        <v>4</v>
      </c>
      <c r="B9" s="36"/>
      <c r="C9" s="37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8"/>
      <c r="AE9" s="36"/>
    </row>
    <row r="10" spans="1:31" s="16" customFormat="1" ht="28.5" customHeight="1">
      <c r="A10" s="71">
        <f t="shared" si="0"/>
        <v>5</v>
      </c>
      <c r="B10" s="36"/>
      <c r="C10" s="37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8"/>
      <c r="AE10" s="36"/>
    </row>
    <row r="11" spans="1:31" s="16" customFormat="1" ht="28.5" customHeight="1">
      <c r="A11" s="71">
        <f t="shared" si="0"/>
        <v>6</v>
      </c>
      <c r="B11" s="36"/>
      <c r="C11" s="37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8"/>
      <c r="AE11" s="36"/>
    </row>
    <row r="12" spans="1:31" s="16" customFormat="1" ht="28.5" customHeight="1">
      <c r="A12" s="71">
        <f t="shared" si="0"/>
        <v>7</v>
      </c>
      <c r="B12" s="36"/>
      <c r="C12" s="37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8"/>
      <c r="AE12" s="36"/>
    </row>
    <row r="13" spans="1:31" s="16" customFormat="1" ht="28.5" customHeight="1">
      <c r="A13" s="71">
        <f t="shared" si="0"/>
        <v>8</v>
      </c>
      <c r="B13" s="36"/>
      <c r="C13" s="37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8"/>
      <c r="AE13" s="36"/>
    </row>
    <row r="14" spans="1:31" s="16" customFormat="1" ht="28.5" customHeight="1">
      <c r="A14" s="71">
        <f t="shared" si="0"/>
        <v>9</v>
      </c>
      <c r="B14" s="36"/>
      <c r="C14" s="37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8"/>
      <c r="AE14" s="36"/>
    </row>
    <row r="15" spans="1:31" s="16" customFormat="1" ht="28.5" customHeight="1">
      <c r="A15" s="71">
        <f t="shared" si="0"/>
        <v>10</v>
      </c>
      <c r="B15" s="36"/>
      <c r="C15" s="37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8"/>
      <c r="AE15" s="36"/>
    </row>
    <row r="16" spans="1:31" s="16" customFormat="1" ht="28.5" customHeight="1">
      <c r="A16" s="71">
        <f t="shared" si="0"/>
        <v>11</v>
      </c>
      <c r="B16" s="36"/>
      <c r="C16" s="37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8"/>
      <c r="AE16" s="36"/>
    </row>
    <row r="17" spans="30:30">
      <c r="AD17" s="7"/>
    </row>
  </sheetData>
  <mergeCells count="10">
    <mergeCell ref="A3:A4"/>
    <mergeCell ref="B3:B4"/>
    <mergeCell ref="C3:C4"/>
    <mergeCell ref="D3:D4"/>
    <mergeCell ref="AD3:AE3"/>
    <mergeCell ref="E3:I3"/>
    <mergeCell ref="J3:O3"/>
    <mergeCell ref="P3:V3"/>
    <mergeCell ref="W3:Z3"/>
    <mergeCell ref="AA3:AC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9:A11"/>
  <sheetViews>
    <sheetView topLeftCell="A7" workbookViewId="0">
      <selection activeCell="A45" sqref="A45"/>
    </sheetView>
  </sheetViews>
  <sheetFormatPr defaultColWidth="75.140625" defaultRowHeight="15"/>
  <sheetData>
    <row r="9" spans="1:1" ht="29.25">
      <c r="A9" s="119" t="s">
        <v>286</v>
      </c>
    </row>
    <row r="10" spans="1:1" ht="29.25">
      <c r="A10" s="119" t="s">
        <v>287</v>
      </c>
    </row>
    <row r="11" spans="1:1">
      <c r="A11" s="119" t="s">
        <v>288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5"/>
  <sheetViews>
    <sheetView zoomScaleNormal="100" zoomScaleSheetLayoutView="100" workbookViewId="0">
      <selection activeCell="D26" sqref="D26"/>
    </sheetView>
  </sheetViews>
  <sheetFormatPr defaultColWidth="9.140625" defaultRowHeight="15"/>
  <cols>
    <col min="1" max="1" width="6.85546875" style="2" customWidth="1"/>
    <col min="2" max="5" width="20.7109375" style="2" customWidth="1"/>
    <col min="6" max="16384" width="9.140625" style="2"/>
  </cols>
  <sheetData>
    <row r="1" spans="1:5" ht="36.75" customHeight="1">
      <c r="A1" s="305"/>
      <c r="B1" s="306"/>
      <c r="C1" s="306"/>
      <c r="D1" s="306"/>
      <c r="E1" s="306"/>
    </row>
    <row r="3" spans="1:5" s="24" customFormat="1" ht="45.75" customHeight="1">
      <c r="A3" s="1"/>
      <c r="B3" s="1"/>
      <c r="C3" s="1" t="s">
        <v>163</v>
      </c>
      <c r="D3" s="1" t="s">
        <v>141</v>
      </c>
      <c r="E3" s="1" t="s">
        <v>142</v>
      </c>
    </row>
    <row r="4" spans="1:5" ht="34.5" customHeight="1">
      <c r="A4" s="52">
        <v>1</v>
      </c>
      <c r="B4" s="61" t="s">
        <v>178</v>
      </c>
      <c r="C4" s="52">
        <f>SUM(D4:E4)</f>
        <v>51</v>
      </c>
      <c r="D4" s="52">
        <v>51</v>
      </c>
      <c r="E4" s="52">
        <v>0</v>
      </c>
    </row>
    <row r="5" spans="1:5" ht="30">
      <c r="A5" s="52">
        <v>2</v>
      </c>
      <c r="B5" s="55" t="s">
        <v>177</v>
      </c>
      <c r="C5" s="52">
        <v>0</v>
      </c>
      <c r="D5" s="52">
        <v>0</v>
      </c>
      <c r="E5" s="52">
        <v>0</v>
      </c>
    </row>
  </sheetData>
  <mergeCells count="1">
    <mergeCell ref="A1:E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7" fitToHeight="1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F10"/>
  <sheetViews>
    <sheetView view="pageBreakPreview" zoomScale="115" zoomScaleNormal="100" zoomScaleSheetLayoutView="115" workbookViewId="0">
      <selection activeCell="C24" sqref="C24"/>
    </sheetView>
  </sheetViews>
  <sheetFormatPr defaultColWidth="9.140625" defaultRowHeight="15"/>
  <cols>
    <col min="1" max="1" width="6.7109375" style="2" customWidth="1"/>
    <col min="2" max="2" width="37.42578125" style="2" customWidth="1"/>
    <col min="3" max="3" width="13" style="2" customWidth="1"/>
    <col min="4" max="5" width="12.7109375" style="2" customWidth="1"/>
    <col min="6" max="6" width="17.28515625" style="2" customWidth="1"/>
    <col min="7" max="16384" width="9.140625" style="2"/>
  </cols>
  <sheetData>
    <row r="2" spans="1:6" ht="15" customHeight="1">
      <c r="A2" s="307" t="s">
        <v>650</v>
      </c>
      <c r="B2" s="307"/>
      <c r="C2" s="307"/>
      <c r="D2" s="307"/>
      <c r="E2" s="307"/>
      <c r="F2" s="307"/>
    </row>
    <row r="3" spans="1:6">
      <c r="A3" s="7"/>
    </row>
    <row r="4" spans="1:6" ht="45">
      <c r="A4" s="101" t="s">
        <v>182</v>
      </c>
      <c r="B4" s="143" t="s">
        <v>157</v>
      </c>
      <c r="C4" s="99" t="s">
        <v>635</v>
      </c>
      <c r="D4" s="48">
        <v>2018</v>
      </c>
      <c r="E4" s="265">
        <v>2019</v>
      </c>
      <c r="F4" s="3" t="s">
        <v>158</v>
      </c>
    </row>
    <row r="5" spans="1:6">
      <c r="A5" s="63">
        <v>1</v>
      </c>
      <c r="B5" s="63">
        <v>2</v>
      </c>
      <c r="C5" s="63">
        <v>3</v>
      </c>
      <c r="D5" s="63">
        <v>4</v>
      </c>
      <c r="E5" s="265">
        <v>5</v>
      </c>
      <c r="F5" s="63">
        <v>6</v>
      </c>
    </row>
    <row r="6" spans="1:6" ht="20.100000000000001" customHeight="1">
      <c r="A6" s="63">
        <v>1</v>
      </c>
      <c r="B6" s="72" t="s">
        <v>203</v>
      </c>
      <c r="C6" s="63" t="s">
        <v>208</v>
      </c>
      <c r="D6" s="88">
        <v>357.7</v>
      </c>
      <c r="E6" s="273">
        <v>379</v>
      </c>
      <c r="F6" s="89">
        <f>(E6-D6)/D6*100</f>
        <v>5.954710651383845</v>
      </c>
    </row>
    <row r="7" spans="1:6" ht="20.100000000000001" customHeight="1">
      <c r="A7" s="63">
        <v>2</v>
      </c>
      <c r="B7" s="72" t="s">
        <v>204</v>
      </c>
      <c r="C7" s="63" t="s">
        <v>208</v>
      </c>
      <c r="D7" s="88">
        <v>25.78</v>
      </c>
      <c r="E7" s="274">
        <v>33.340000000000003</v>
      </c>
      <c r="F7" s="89">
        <f t="shared" ref="F7:F10" si="0">(E7-D7)/D7*100</f>
        <v>29.325058184639264</v>
      </c>
    </row>
    <row r="8" spans="1:6" ht="20.100000000000001" customHeight="1">
      <c r="A8" s="63">
        <v>3</v>
      </c>
      <c r="B8" s="72" t="s">
        <v>205</v>
      </c>
      <c r="C8" s="63" t="s">
        <v>208</v>
      </c>
      <c r="D8" s="88">
        <v>1166.55</v>
      </c>
      <c r="E8" s="274">
        <v>1205.43</v>
      </c>
      <c r="F8" s="89">
        <f t="shared" si="0"/>
        <v>3.3329047190433427</v>
      </c>
    </row>
    <row r="9" spans="1:6" ht="20.100000000000001" customHeight="1">
      <c r="A9" s="63">
        <v>4</v>
      </c>
      <c r="B9" s="72" t="s">
        <v>206</v>
      </c>
      <c r="C9" s="63" t="s">
        <v>208</v>
      </c>
      <c r="D9" s="88">
        <v>60.23</v>
      </c>
      <c r="E9" s="274">
        <v>64.459999999999994</v>
      </c>
      <c r="F9" s="89">
        <f t="shared" si="0"/>
        <v>7.0230782002324368</v>
      </c>
    </row>
    <row r="10" spans="1:6" ht="20.100000000000001" customHeight="1">
      <c r="A10" s="63">
        <v>5</v>
      </c>
      <c r="B10" s="15" t="s">
        <v>207</v>
      </c>
      <c r="C10" s="63" t="s">
        <v>209</v>
      </c>
      <c r="D10" s="88">
        <v>582</v>
      </c>
      <c r="E10" s="275">
        <v>623</v>
      </c>
      <c r="F10" s="89">
        <f t="shared" si="0"/>
        <v>7.0446735395189002</v>
      </c>
    </row>
  </sheetData>
  <mergeCells count="1">
    <mergeCell ref="A2:F2"/>
  </mergeCells>
  <phoneticPr fontId="1" type="noConversion"/>
  <pageMargins left="0.7" right="0.7" top="0.75" bottom="0.75" header="0.3" footer="0.3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8"/>
  <sheetViews>
    <sheetView view="pageBreakPreview" zoomScale="130" zoomScaleNormal="100" zoomScaleSheetLayoutView="130" workbookViewId="0">
      <selection activeCell="B22" sqref="B22"/>
    </sheetView>
  </sheetViews>
  <sheetFormatPr defaultColWidth="9.140625" defaultRowHeight="15"/>
  <cols>
    <col min="1" max="1" width="27.42578125" style="2" customWidth="1"/>
    <col min="2" max="2" width="24" style="2" customWidth="1"/>
    <col min="3" max="3" width="27" style="2" customWidth="1"/>
    <col min="4" max="4" width="23.42578125" style="2" customWidth="1"/>
    <col min="5" max="16384" width="9.140625" style="2"/>
  </cols>
  <sheetData>
    <row r="1" spans="1:4" ht="15.75">
      <c r="A1" s="308" t="s">
        <v>210</v>
      </c>
      <c r="B1" s="308"/>
      <c r="C1" s="308"/>
      <c r="D1" s="308"/>
    </row>
    <row r="2" spans="1:4" ht="15.75" thickBot="1">
      <c r="A2"/>
      <c r="B2"/>
      <c r="C2"/>
      <c r="D2"/>
    </row>
    <row r="3" spans="1:4" ht="30.75" thickBot="1">
      <c r="A3" s="73" t="s">
        <v>211</v>
      </c>
      <c r="B3" s="74" t="s">
        <v>652</v>
      </c>
      <c r="C3" s="74" t="s">
        <v>651</v>
      </c>
      <c r="D3" s="75" t="s">
        <v>212</v>
      </c>
    </row>
    <row r="4" spans="1:4">
      <c r="A4" s="76" t="s">
        <v>636</v>
      </c>
      <c r="B4" s="77">
        <v>72</v>
      </c>
      <c r="C4" s="77">
        <v>70</v>
      </c>
      <c r="D4" s="78">
        <f>B4-C4</f>
        <v>2</v>
      </c>
    </row>
    <row r="5" spans="1:4">
      <c r="A5" s="79" t="s">
        <v>637</v>
      </c>
      <c r="B5" s="80">
        <v>81</v>
      </c>
      <c r="C5" s="80">
        <v>79</v>
      </c>
      <c r="D5" s="78">
        <f>B5-C5</f>
        <v>2</v>
      </c>
    </row>
    <row r="6" spans="1:4">
      <c r="A6" s="79" t="s">
        <v>638</v>
      </c>
      <c r="B6" s="80">
        <v>75</v>
      </c>
      <c r="C6" s="80">
        <v>75</v>
      </c>
      <c r="D6" s="78">
        <f>B6-C6</f>
        <v>0</v>
      </c>
    </row>
    <row r="7" spans="1:4">
      <c r="A7" s="79" t="s">
        <v>639</v>
      </c>
      <c r="B7" s="80">
        <v>74</v>
      </c>
      <c r="C7" s="80">
        <v>74</v>
      </c>
      <c r="D7" s="78">
        <f>B7-C7</f>
        <v>0</v>
      </c>
    </row>
    <row r="8" spans="1:4" ht="15.75" thickBot="1">
      <c r="A8" s="81" t="s">
        <v>213</v>
      </c>
      <c r="B8" s="82">
        <v>86</v>
      </c>
      <c r="C8" s="82">
        <v>85</v>
      </c>
      <c r="D8" s="78">
        <f>B8-C8</f>
        <v>1</v>
      </c>
    </row>
  </sheetData>
  <mergeCells count="1">
    <mergeCell ref="A1:D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5" fitToHeight="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7"/>
  <sheetViews>
    <sheetView view="pageBreakPreview" topLeftCell="A16" zoomScaleNormal="100" zoomScaleSheetLayoutView="100" workbookViewId="0">
      <selection activeCell="H27" sqref="H27"/>
    </sheetView>
  </sheetViews>
  <sheetFormatPr defaultColWidth="9.140625" defaultRowHeight="15"/>
  <cols>
    <col min="1" max="1" width="9.140625" style="2"/>
    <col min="2" max="2" width="36.140625" style="2" customWidth="1"/>
    <col min="3" max="5" width="15.7109375" style="2" customWidth="1"/>
    <col min="6" max="16384" width="9.140625" style="2"/>
  </cols>
  <sheetData>
    <row r="1" spans="1:8" ht="15.75" customHeight="1">
      <c r="A1" s="309"/>
      <c r="B1" s="309"/>
      <c r="C1" s="309"/>
      <c r="D1" s="309"/>
      <c r="E1" s="309"/>
    </row>
    <row r="2" spans="1:8" ht="65.25" customHeight="1">
      <c r="A2" s="310" t="s">
        <v>640</v>
      </c>
      <c r="B2" s="310"/>
      <c r="C2" s="310"/>
      <c r="D2" s="310"/>
      <c r="E2" s="310"/>
    </row>
    <row r="3" spans="1:8">
      <c r="A3" s="311" t="s">
        <v>653</v>
      </c>
      <c r="B3" s="313" t="s">
        <v>1</v>
      </c>
      <c r="C3" s="315" t="s">
        <v>2</v>
      </c>
      <c r="D3" s="315"/>
      <c r="E3" s="315"/>
      <c r="H3" s="9"/>
    </row>
    <row r="4" spans="1:8" ht="51.75" customHeight="1">
      <c r="A4" s="312"/>
      <c r="B4" s="314"/>
      <c r="C4" s="122">
        <v>2018</v>
      </c>
      <c r="D4" s="48">
        <v>2019</v>
      </c>
      <c r="E4" s="3" t="s">
        <v>77</v>
      </c>
    </row>
    <row r="5" spans="1:8" ht="19.5" customHeight="1">
      <c r="A5" s="3">
        <v>1</v>
      </c>
      <c r="B5" s="3">
        <v>2</v>
      </c>
      <c r="C5" s="121">
        <v>4</v>
      </c>
      <c r="D5" s="3">
        <v>4</v>
      </c>
      <c r="E5" s="3">
        <v>5</v>
      </c>
    </row>
    <row r="6" spans="1:8" ht="64.5" customHeight="1">
      <c r="A6" s="280">
        <v>1</v>
      </c>
      <c r="B6" s="10" t="s">
        <v>162</v>
      </c>
      <c r="C6" s="250">
        <f>SUM(C7:C10)</f>
        <v>1.47</v>
      </c>
      <c r="D6" s="250">
        <f>SUM(D7:D10)</f>
        <v>1.6544999999999999</v>
      </c>
      <c r="E6" s="11"/>
    </row>
    <row r="7" spans="1:8">
      <c r="A7" s="4" t="s">
        <v>123</v>
      </c>
      <c r="B7" s="12" t="s">
        <v>3</v>
      </c>
      <c r="C7" s="13" t="s">
        <v>179</v>
      </c>
      <c r="D7" s="13" t="s">
        <v>179</v>
      </c>
      <c r="E7" s="6" t="s">
        <v>179</v>
      </c>
    </row>
    <row r="8" spans="1:8" ht="17.25" customHeight="1">
      <c r="A8" s="4" t="s">
        <v>124</v>
      </c>
      <c r="B8" s="12" t="s">
        <v>4</v>
      </c>
      <c r="C8" s="13" t="s">
        <v>179</v>
      </c>
      <c r="D8" s="13" t="s">
        <v>179</v>
      </c>
      <c r="E8" s="6" t="s">
        <v>179</v>
      </c>
    </row>
    <row r="9" spans="1:8" ht="17.25" customHeight="1">
      <c r="A9" s="4" t="s">
        <v>125</v>
      </c>
      <c r="B9" s="12" t="s">
        <v>5</v>
      </c>
      <c r="C9" s="247">
        <v>1.42</v>
      </c>
      <c r="D9" s="247">
        <v>1.63</v>
      </c>
      <c r="E9" s="6">
        <f>(C9-D9)/C9*100</f>
        <v>-14.788732394366194</v>
      </c>
    </row>
    <row r="10" spans="1:8" ht="17.25" customHeight="1">
      <c r="A10" s="4" t="s">
        <v>126</v>
      </c>
      <c r="B10" s="12" t="s">
        <v>6</v>
      </c>
      <c r="C10" s="247">
        <v>0.05</v>
      </c>
      <c r="D10" s="248">
        <v>2.4500000000000001E-2</v>
      </c>
      <c r="E10" s="6">
        <f>(C10-D10)/C10*100</f>
        <v>51</v>
      </c>
    </row>
    <row r="11" spans="1:8" ht="50.25" customHeight="1">
      <c r="A11" s="278">
        <v>2</v>
      </c>
      <c r="B11" s="10" t="s">
        <v>161</v>
      </c>
      <c r="C11" s="249">
        <f>SUM(C12:C15)</f>
        <v>1.0940000000000001</v>
      </c>
      <c r="D11" s="249">
        <f>SUM(D12:D15)</f>
        <v>0.74229999999999996</v>
      </c>
      <c r="E11" s="11"/>
    </row>
    <row r="12" spans="1:8" ht="17.25" customHeight="1">
      <c r="A12" s="4" t="s">
        <v>127</v>
      </c>
      <c r="B12" s="12" t="s">
        <v>3</v>
      </c>
      <c r="C12" s="13" t="s">
        <v>179</v>
      </c>
      <c r="D12" s="13" t="s">
        <v>179</v>
      </c>
      <c r="E12" s="6" t="s">
        <v>179</v>
      </c>
    </row>
    <row r="13" spans="1:8" ht="17.25" customHeight="1">
      <c r="A13" s="4" t="s">
        <v>128</v>
      </c>
      <c r="B13" s="12" t="s">
        <v>4</v>
      </c>
      <c r="C13" s="13" t="s">
        <v>179</v>
      </c>
      <c r="D13" s="13" t="s">
        <v>179</v>
      </c>
      <c r="E13" s="6" t="s">
        <v>179</v>
      </c>
    </row>
    <row r="14" spans="1:8" ht="17.25" customHeight="1">
      <c r="A14" s="4" t="s">
        <v>129</v>
      </c>
      <c r="B14" s="12" t="s">
        <v>5</v>
      </c>
      <c r="C14" s="247">
        <v>1.08</v>
      </c>
      <c r="D14" s="247">
        <v>0.73</v>
      </c>
      <c r="E14" s="6">
        <f>(C14-D14)/C14*100</f>
        <v>32.407407407407412</v>
      </c>
    </row>
    <row r="15" spans="1:8" ht="17.25" customHeight="1">
      <c r="A15" s="4" t="s">
        <v>130</v>
      </c>
      <c r="B15" s="12" t="s">
        <v>6</v>
      </c>
      <c r="C15" s="247">
        <v>1.4E-2</v>
      </c>
      <c r="D15" s="247">
        <v>1.23E-2</v>
      </c>
      <c r="E15" s="6">
        <f>(C15-D15)/C15*100</f>
        <v>12.142857142857144</v>
      </c>
    </row>
    <row r="16" spans="1:8" s="18" customFormat="1" ht="151.5" customHeight="1">
      <c r="A16" s="278" t="s">
        <v>131</v>
      </c>
      <c r="B16" s="10" t="s">
        <v>160</v>
      </c>
      <c r="C16" s="249">
        <v>6.1130899999999997</v>
      </c>
      <c r="D16" s="250">
        <f>SUM(D17:D20)</f>
        <v>7.8639999999999999</v>
      </c>
      <c r="E16" s="11"/>
    </row>
    <row r="17" spans="1:5" s="18" customFormat="1" ht="17.25" customHeight="1">
      <c r="A17" s="22" t="s">
        <v>132</v>
      </c>
      <c r="B17" s="23" t="s">
        <v>3</v>
      </c>
      <c r="C17" s="13" t="s">
        <v>179</v>
      </c>
      <c r="D17" s="13" t="s">
        <v>179</v>
      </c>
      <c r="E17" s="6" t="s">
        <v>179</v>
      </c>
    </row>
    <row r="18" spans="1:5" s="18" customFormat="1" ht="17.25" customHeight="1">
      <c r="A18" s="22" t="s">
        <v>133</v>
      </c>
      <c r="B18" s="23" t="s">
        <v>4</v>
      </c>
      <c r="C18" s="13" t="s">
        <v>179</v>
      </c>
      <c r="D18" s="13" t="s">
        <v>179</v>
      </c>
      <c r="E18" s="6" t="s">
        <v>179</v>
      </c>
    </row>
    <row r="19" spans="1:5" s="18" customFormat="1" ht="17.25" customHeight="1">
      <c r="A19" s="22" t="s">
        <v>134</v>
      </c>
      <c r="B19" s="23" t="s">
        <v>5</v>
      </c>
      <c r="C19" s="248">
        <v>4.22</v>
      </c>
      <c r="D19" s="248">
        <v>5.8849999999999998</v>
      </c>
      <c r="E19" s="6">
        <f>(C19-D19)/C19*100</f>
        <v>-39.454976303317544</v>
      </c>
    </row>
    <row r="20" spans="1:5" s="18" customFormat="1" ht="17.25" customHeight="1">
      <c r="A20" s="22" t="s">
        <v>135</v>
      </c>
      <c r="B20" s="23" t="s">
        <v>6</v>
      </c>
      <c r="C20" s="248">
        <v>1.89</v>
      </c>
      <c r="D20" s="248">
        <v>1.9790000000000001</v>
      </c>
      <c r="E20" s="6">
        <f>(C20-D20)/C20*100</f>
        <v>-4.7089947089947195</v>
      </c>
    </row>
    <row r="21" spans="1:5" s="18" customFormat="1" ht="135" customHeight="1">
      <c r="A21" s="278">
        <v>4</v>
      </c>
      <c r="B21" s="10" t="s">
        <v>152</v>
      </c>
      <c r="C21" s="249">
        <f>SUM(C22:C25)</f>
        <v>2.7805999999999997</v>
      </c>
      <c r="D21" s="249">
        <f>SUM(D22:D25)</f>
        <v>4.4889999999999999</v>
      </c>
      <c r="E21" s="11"/>
    </row>
    <row r="22" spans="1:5" s="18" customFormat="1" ht="17.25" customHeight="1">
      <c r="A22" s="22" t="s">
        <v>136</v>
      </c>
      <c r="B22" s="23" t="s">
        <v>3</v>
      </c>
      <c r="C22" s="251" t="s">
        <v>179</v>
      </c>
      <c r="D22" s="251" t="s">
        <v>179</v>
      </c>
      <c r="E22" s="251" t="s">
        <v>179</v>
      </c>
    </row>
    <row r="23" spans="1:5" s="18" customFormat="1" ht="17.25" customHeight="1">
      <c r="A23" s="22" t="s">
        <v>137</v>
      </c>
      <c r="B23" s="23" t="s">
        <v>4</v>
      </c>
      <c r="C23" s="251" t="s">
        <v>179</v>
      </c>
      <c r="D23" s="251" t="s">
        <v>179</v>
      </c>
      <c r="E23" s="251" t="s">
        <v>179</v>
      </c>
    </row>
    <row r="24" spans="1:5" s="18" customFormat="1" ht="17.25" customHeight="1">
      <c r="A24" s="22" t="s">
        <v>138</v>
      </c>
      <c r="B24" s="23" t="s">
        <v>5</v>
      </c>
      <c r="C24" s="247">
        <v>1.6208</v>
      </c>
      <c r="D24" s="247">
        <v>3.4910000000000001</v>
      </c>
      <c r="E24" s="6">
        <f t="shared" ref="E24:E25" si="0">(C24-D24)/C24*100</f>
        <v>-115.38746298124383</v>
      </c>
    </row>
    <row r="25" spans="1:5" s="18" customFormat="1" ht="17.25" customHeight="1">
      <c r="A25" s="22" t="s">
        <v>139</v>
      </c>
      <c r="B25" s="23" t="s">
        <v>6</v>
      </c>
      <c r="C25" s="247">
        <v>1.1597999999999999</v>
      </c>
      <c r="D25" s="247">
        <v>0.998</v>
      </c>
      <c r="E25" s="6">
        <f t="shared" si="0"/>
        <v>13.950681151922742</v>
      </c>
    </row>
    <row r="26" spans="1:5" s="18" customFormat="1" ht="75">
      <c r="A26" s="278">
        <v>5</v>
      </c>
      <c r="B26" s="10" t="s">
        <v>7</v>
      </c>
      <c r="C26" s="252">
        <v>33</v>
      </c>
      <c r="D26" s="252">
        <v>15</v>
      </c>
      <c r="E26" s="252">
        <f>(C26-D26)/D26*100</f>
        <v>120</v>
      </c>
    </row>
    <row r="27" spans="1:5" s="18" customFormat="1" ht="96.75" customHeight="1">
      <c r="A27" s="279" t="s">
        <v>140</v>
      </c>
      <c r="B27" s="17" t="s">
        <v>8</v>
      </c>
      <c r="C27" s="19">
        <v>33</v>
      </c>
      <c r="D27" s="19">
        <v>15</v>
      </c>
      <c r="E27" s="19">
        <f>(C27-D27)/D27*100</f>
        <v>120</v>
      </c>
    </row>
  </sheetData>
  <mergeCells count="5">
    <mergeCell ref="A1:E1"/>
    <mergeCell ref="A2:E2"/>
    <mergeCell ref="A3:A4"/>
    <mergeCell ref="B3:B4"/>
    <mergeCell ref="C3:E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4" orientation="portrait" r:id="rId1"/>
  <ignoredErrors>
    <ignoredError sqref="A16 A7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U20"/>
  <sheetViews>
    <sheetView view="pageBreakPreview" zoomScale="85" zoomScaleNormal="100" zoomScaleSheetLayoutView="85" workbookViewId="0">
      <selection activeCell="S28" sqref="S28"/>
    </sheetView>
  </sheetViews>
  <sheetFormatPr defaultColWidth="9.140625" defaultRowHeight="15"/>
  <cols>
    <col min="1" max="1" width="5.140625" style="2" customWidth="1"/>
    <col min="2" max="2" width="31.85546875" style="2" customWidth="1"/>
    <col min="3" max="4" width="9.140625" style="2"/>
    <col min="5" max="6" width="11.42578125" style="2" bestFit="1" customWidth="1"/>
    <col min="7" max="8" width="9.140625" style="2"/>
    <col min="9" max="10" width="11.42578125" style="2" bestFit="1" customWidth="1"/>
    <col min="11" max="18" width="9.140625" style="2"/>
    <col min="19" max="19" width="28.5703125" style="2" customWidth="1"/>
    <col min="20" max="20" width="28" style="2" customWidth="1"/>
    <col min="21" max="21" width="9.140625" style="2" customWidth="1"/>
    <col min="22" max="16384" width="9.140625" style="2"/>
  </cols>
  <sheetData>
    <row r="2" spans="1:21" ht="15.75">
      <c r="A2" s="308" t="s">
        <v>655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</row>
    <row r="4" spans="1:21" ht="194.25" customHeight="1">
      <c r="A4" s="313" t="s">
        <v>653</v>
      </c>
      <c r="B4" s="318" t="s">
        <v>10</v>
      </c>
      <c r="C4" s="318" t="s">
        <v>641</v>
      </c>
      <c r="D4" s="318"/>
      <c r="E4" s="318"/>
      <c r="F4" s="318"/>
      <c r="G4" s="318" t="s">
        <v>78</v>
      </c>
      <c r="H4" s="318"/>
      <c r="I4" s="318"/>
      <c r="J4" s="318"/>
      <c r="K4" s="318" t="s">
        <v>79</v>
      </c>
      <c r="L4" s="318"/>
      <c r="M4" s="318"/>
      <c r="N4" s="318"/>
      <c r="O4" s="318" t="s">
        <v>80</v>
      </c>
      <c r="P4" s="318"/>
      <c r="Q4" s="318"/>
      <c r="R4" s="318"/>
      <c r="S4" s="318" t="s">
        <v>11</v>
      </c>
      <c r="T4" s="318" t="s">
        <v>12</v>
      </c>
    </row>
    <row r="5" spans="1:21">
      <c r="A5" s="319"/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</row>
    <row r="6" spans="1:21">
      <c r="A6" s="314"/>
      <c r="B6" s="318"/>
      <c r="C6" s="265" t="s">
        <v>13</v>
      </c>
      <c r="D6" s="265" t="s">
        <v>14</v>
      </c>
      <c r="E6" s="265" t="s">
        <v>15</v>
      </c>
      <c r="F6" s="265" t="s">
        <v>16</v>
      </c>
      <c r="G6" s="265" t="s">
        <v>13</v>
      </c>
      <c r="H6" s="265" t="s">
        <v>14</v>
      </c>
      <c r="I6" s="265" t="s">
        <v>15</v>
      </c>
      <c r="J6" s="265" t="s">
        <v>16</v>
      </c>
      <c r="K6" s="265" t="s">
        <v>13</v>
      </c>
      <c r="L6" s="265" t="s">
        <v>14</v>
      </c>
      <c r="M6" s="265" t="s">
        <v>15</v>
      </c>
      <c r="N6" s="265" t="s">
        <v>16</v>
      </c>
      <c r="O6" s="265" t="s">
        <v>13</v>
      </c>
      <c r="P6" s="265" t="s">
        <v>14</v>
      </c>
      <c r="Q6" s="265" t="s">
        <v>15</v>
      </c>
      <c r="R6" s="265" t="s">
        <v>16</v>
      </c>
      <c r="S6" s="318"/>
      <c r="T6" s="318"/>
    </row>
    <row r="7" spans="1:2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3">
        <v>20</v>
      </c>
    </row>
    <row r="8" spans="1:21" s="255" customFormat="1" ht="15.75">
      <c r="A8" s="88">
        <v>1</v>
      </c>
      <c r="B8" s="86" t="s">
        <v>214</v>
      </c>
      <c r="C8" s="88" t="s">
        <v>179</v>
      </c>
      <c r="D8" s="88" t="s">
        <v>179</v>
      </c>
      <c r="E8" s="274">
        <v>0</v>
      </c>
      <c r="F8" s="274">
        <v>0</v>
      </c>
      <c r="G8" s="268" t="s">
        <v>179</v>
      </c>
      <c r="H8" s="268" t="s">
        <v>179</v>
      </c>
      <c r="I8" s="274">
        <v>0</v>
      </c>
      <c r="J8" s="274">
        <v>0</v>
      </c>
      <c r="K8" s="268" t="s">
        <v>179</v>
      </c>
      <c r="L8" s="268" t="s">
        <v>179</v>
      </c>
      <c r="M8" s="274">
        <f>10516.7/U8</f>
        <v>1.0472714598685522</v>
      </c>
      <c r="N8" s="274">
        <f>3220/$U8</f>
        <v>0.32065325632344155</v>
      </c>
      <c r="O8" s="268" t="s">
        <v>179</v>
      </c>
      <c r="P8" s="268" t="s">
        <v>179</v>
      </c>
      <c r="Q8" s="274">
        <f>8397/$U8</f>
        <v>0.8361880103565027</v>
      </c>
      <c r="R8" s="274">
        <f>1645/$U8</f>
        <v>0.1638119896434973</v>
      </c>
      <c r="S8" s="254">
        <f>140/U8</f>
        <v>1.3941445927106154E-2</v>
      </c>
      <c r="T8" s="316" t="s">
        <v>217</v>
      </c>
      <c r="U8" s="281">
        <v>10042</v>
      </c>
    </row>
    <row r="9" spans="1:21" s="255" customFormat="1" ht="15.75">
      <c r="A9" s="88">
        <v>2</v>
      </c>
      <c r="B9" s="86" t="s">
        <v>219</v>
      </c>
      <c r="C9" s="88" t="s">
        <v>179</v>
      </c>
      <c r="D9" s="88" t="s">
        <v>179</v>
      </c>
      <c r="E9" s="254">
        <f>56.9/$U9</f>
        <v>2.9469649886057592E-3</v>
      </c>
      <c r="F9" s="274">
        <v>0</v>
      </c>
      <c r="G9" s="268" t="s">
        <v>179</v>
      </c>
      <c r="H9" s="268" t="s">
        <v>179</v>
      </c>
      <c r="I9" s="254">
        <f>65/$U9</f>
        <v>3.3664802154547337E-3</v>
      </c>
      <c r="J9" s="274">
        <v>0</v>
      </c>
      <c r="K9" s="268" t="s">
        <v>179</v>
      </c>
      <c r="L9" s="268" t="s">
        <v>179</v>
      </c>
      <c r="M9" s="274">
        <f>16635.3/$U9</f>
        <v>0.86157551274083277</v>
      </c>
      <c r="N9" s="274">
        <f>3911.9/$U9</f>
        <v>0.20260513776672881</v>
      </c>
      <c r="O9" s="268" t="s">
        <v>179</v>
      </c>
      <c r="P9" s="268" t="s">
        <v>179</v>
      </c>
      <c r="Q9" s="274">
        <f>13952/$U9</f>
        <v>0.72260203024652991</v>
      </c>
      <c r="R9" s="274">
        <f>2851/$U9</f>
        <v>0.1476590014501761</v>
      </c>
      <c r="S9" s="254">
        <f>150/U9</f>
        <v>7.7688004972032319E-3</v>
      </c>
      <c r="T9" s="316"/>
      <c r="U9" s="281">
        <v>19308</v>
      </c>
    </row>
    <row r="10" spans="1:21" s="255" customFormat="1" ht="15.75">
      <c r="A10" s="88">
        <v>3</v>
      </c>
      <c r="B10" s="86" t="s">
        <v>220</v>
      </c>
      <c r="C10" s="88" t="s">
        <v>179</v>
      </c>
      <c r="D10" s="88" t="s">
        <v>179</v>
      </c>
      <c r="E10" s="274">
        <v>0</v>
      </c>
      <c r="F10" s="274">
        <v>0</v>
      </c>
      <c r="G10" s="268" t="s">
        <v>179</v>
      </c>
      <c r="H10" s="268" t="s">
        <v>179</v>
      </c>
      <c r="I10" s="274">
        <v>0</v>
      </c>
      <c r="J10" s="274">
        <v>0</v>
      </c>
      <c r="K10" s="268" t="s">
        <v>179</v>
      </c>
      <c r="L10" s="268" t="s">
        <v>179</v>
      </c>
      <c r="M10" s="274">
        <f>15043.4/$U10</f>
        <v>2.0464426608624677</v>
      </c>
      <c r="N10" s="274">
        <f>7680.8/$U10</f>
        <v>1.0448646442660863</v>
      </c>
      <c r="O10" s="268" t="s">
        <v>179</v>
      </c>
      <c r="P10" s="268" t="s">
        <v>179</v>
      </c>
      <c r="Q10" s="274">
        <f>3948/$U10</f>
        <v>0.5370697864236158</v>
      </c>
      <c r="R10" s="274">
        <f>3403/$U10</f>
        <v>0.46293021357638414</v>
      </c>
      <c r="S10" s="254">
        <f>148/U10</f>
        <v>2.0133315195211537E-2</v>
      </c>
      <c r="T10" s="316"/>
      <c r="U10" s="281">
        <v>7351</v>
      </c>
    </row>
    <row r="11" spans="1:21" s="255" customFormat="1" ht="15.75">
      <c r="A11" s="88">
        <v>4</v>
      </c>
      <c r="B11" s="87" t="s">
        <v>221</v>
      </c>
      <c r="C11" s="88" t="s">
        <v>179</v>
      </c>
      <c r="D11" s="88" t="s">
        <v>179</v>
      </c>
      <c r="E11" s="274">
        <f>202.9/$U11</f>
        <v>7.9734349825126734E-3</v>
      </c>
      <c r="F11" s="274">
        <v>0</v>
      </c>
      <c r="G11" s="268" t="s">
        <v>179</v>
      </c>
      <c r="H11" s="268" t="s">
        <v>179</v>
      </c>
      <c r="I11" s="274">
        <f>487/$U11</f>
        <v>1.9137815852556292E-2</v>
      </c>
      <c r="J11" s="274">
        <v>0</v>
      </c>
      <c r="K11" s="268" t="s">
        <v>179</v>
      </c>
      <c r="L11" s="268" t="s">
        <v>179</v>
      </c>
      <c r="M11" s="274">
        <f>34933.6/$U11</f>
        <v>1.3727983652296931</v>
      </c>
      <c r="N11" s="274">
        <f>5952.8/U11</f>
        <v>0.23392934334106183</v>
      </c>
      <c r="O11" s="268" t="s">
        <v>179</v>
      </c>
      <c r="P11" s="268" t="s">
        <v>179</v>
      </c>
      <c r="Q11" s="274">
        <f>20497/$U11</f>
        <v>0.80547805242268244</v>
      </c>
      <c r="R11" s="274">
        <f>4463/$U11</f>
        <v>0.17538413172476128</v>
      </c>
      <c r="S11" s="254">
        <f>247/U11</f>
        <v>9.7064486972924125E-3</v>
      </c>
      <c r="T11" s="316"/>
      <c r="U11" s="281">
        <v>25447</v>
      </c>
    </row>
    <row r="12" spans="1:21" s="256" customFormat="1" ht="15.75">
      <c r="A12" s="88">
        <v>5</v>
      </c>
      <c r="B12" s="87" t="s">
        <v>222</v>
      </c>
      <c r="C12" s="88" t="s">
        <v>179</v>
      </c>
      <c r="D12" s="88" t="s">
        <v>179</v>
      </c>
      <c r="E12" s="274">
        <f>42419.1/$U12</f>
        <v>1.1846925096352565</v>
      </c>
      <c r="F12" s="274">
        <v>0</v>
      </c>
      <c r="G12" s="268" t="s">
        <v>179</v>
      </c>
      <c r="H12" s="268" t="s">
        <v>179</v>
      </c>
      <c r="I12" s="274">
        <f>14776/$U12</f>
        <v>0.41266826788806343</v>
      </c>
      <c r="J12" s="274">
        <v>0</v>
      </c>
      <c r="K12" s="268" t="s">
        <v>179</v>
      </c>
      <c r="L12" s="268" t="s">
        <v>179</v>
      </c>
      <c r="M12" s="274">
        <f>33918.4/$U12</f>
        <v>0.9472825783388259</v>
      </c>
      <c r="N12" s="274">
        <f>5281.6/$U12</f>
        <v>0.14750600458023796</v>
      </c>
      <c r="O12" s="268" t="s">
        <v>179</v>
      </c>
      <c r="P12" s="268" t="s">
        <v>179</v>
      </c>
      <c r="Q12" s="274">
        <f>18250/$U12</f>
        <v>0.50969111322124783</v>
      </c>
      <c r="R12" s="274">
        <f>1885/$U12</f>
        <v>5.2644808132715187E-2</v>
      </c>
      <c r="S12" s="254">
        <f>159/U12</f>
        <v>4.4405965480645701E-3</v>
      </c>
      <c r="T12" s="316"/>
      <c r="U12" s="281">
        <v>35806</v>
      </c>
    </row>
    <row r="13" spans="1:21" s="255" customFormat="1" ht="15.75">
      <c r="A13" s="88">
        <v>6</v>
      </c>
      <c r="B13" s="87" t="s">
        <v>223</v>
      </c>
      <c r="C13" s="88" t="s">
        <v>179</v>
      </c>
      <c r="D13" s="88" t="s">
        <v>179</v>
      </c>
      <c r="E13" s="274">
        <f>2332.8/$U13</f>
        <v>0.19666160849772385</v>
      </c>
      <c r="F13" s="274">
        <f>421.3/$U13</f>
        <v>3.5516776260327093E-2</v>
      </c>
      <c r="G13" s="268" t="s">
        <v>179</v>
      </c>
      <c r="H13" s="268" t="s">
        <v>179</v>
      </c>
      <c r="I13" s="274">
        <f>1315/$U13</f>
        <v>0.11085820266396898</v>
      </c>
      <c r="J13" s="274">
        <f>101/$U13</f>
        <v>8.5145843871185303E-3</v>
      </c>
      <c r="K13" s="268" t="s">
        <v>179</v>
      </c>
      <c r="L13" s="268" t="s">
        <v>179</v>
      </c>
      <c r="M13" s="274">
        <f>26297.8/$U13</f>
        <v>2.2169785870848084</v>
      </c>
      <c r="N13" s="274">
        <f>451/$U13</f>
        <v>3.8020569887034228E-2</v>
      </c>
      <c r="O13" s="268" t="s">
        <v>179</v>
      </c>
      <c r="P13" s="268" t="s">
        <v>179</v>
      </c>
      <c r="Q13" s="274">
        <f>10150/$U13</f>
        <v>0.85567357949755518</v>
      </c>
      <c r="R13" s="274">
        <f>296/$U13</f>
        <v>2.4953633451357274E-2</v>
      </c>
      <c r="S13" s="257">
        <f>98/U13</f>
        <v>8.2616759399763949E-3</v>
      </c>
      <c r="T13" s="316"/>
      <c r="U13" s="281">
        <v>11862</v>
      </c>
    </row>
    <row r="14" spans="1:21" s="255" customFormat="1" ht="15.75">
      <c r="A14" s="88">
        <v>7</v>
      </c>
      <c r="B14" s="87" t="s">
        <v>224</v>
      </c>
      <c r="C14" s="88" t="s">
        <v>179</v>
      </c>
      <c r="D14" s="274" t="s">
        <v>179</v>
      </c>
      <c r="E14" s="274">
        <v>0</v>
      </c>
      <c r="F14" s="274">
        <v>0</v>
      </c>
      <c r="G14" s="268" t="s">
        <v>179</v>
      </c>
      <c r="H14" s="274" t="s">
        <v>179</v>
      </c>
      <c r="I14" s="274">
        <v>0</v>
      </c>
      <c r="J14" s="274">
        <v>0</v>
      </c>
      <c r="K14" s="268" t="s">
        <v>179</v>
      </c>
      <c r="L14" s="268" t="s">
        <v>179</v>
      </c>
      <c r="M14" s="274">
        <f>4213.5/$U14</f>
        <v>0.55244526025960405</v>
      </c>
      <c r="N14" s="274">
        <f>2305.8/$U14</f>
        <v>0.30232070276648748</v>
      </c>
      <c r="O14" s="268" t="s">
        <v>179</v>
      </c>
      <c r="P14" s="268" t="s">
        <v>179</v>
      </c>
      <c r="Q14" s="274">
        <f>4858/$U14</f>
        <v>0.63694768585289108</v>
      </c>
      <c r="R14" s="274">
        <f>2751/$U14</f>
        <v>0.36069227743542676</v>
      </c>
      <c r="S14" s="257">
        <f>210/U14</f>
        <v>2.753376163629212E-2</v>
      </c>
      <c r="T14" s="316"/>
      <c r="U14" s="281">
        <v>7627</v>
      </c>
    </row>
    <row r="15" spans="1:21" s="255" customFormat="1" ht="15.75">
      <c r="A15" s="88">
        <v>8</v>
      </c>
      <c r="B15" s="87" t="s">
        <v>225</v>
      </c>
      <c r="C15" s="88" t="s">
        <v>179</v>
      </c>
      <c r="D15" s="88" t="s">
        <v>179</v>
      </c>
      <c r="E15" s="274">
        <v>0</v>
      </c>
      <c r="F15" s="274">
        <v>0</v>
      </c>
      <c r="G15" s="268" t="s">
        <v>179</v>
      </c>
      <c r="H15" s="268" t="s">
        <v>179</v>
      </c>
      <c r="I15" s="274">
        <v>0</v>
      </c>
      <c r="J15" s="274">
        <v>0</v>
      </c>
      <c r="K15" s="268" t="s">
        <v>179</v>
      </c>
      <c r="L15" s="268" t="s">
        <v>179</v>
      </c>
      <c r="M15" s="274">
        <f>886.2/U15</f>
        <v>0.87569169960474313</v>
      </c>
      <c r="N15" s="274">
        <f>1149/U15</f>
        <v>1.1353754940711462</v>
      </c>
      <c r="O15" s="268" t="s">
        <v>179</v>
      </c>
      <c r="P15" s="268" t="s">
        <v>179</v>
      </c>
      <c r="Q15" s="274">
        <f>470/U15</f>
        <v>0.46442687747035571</v>
      </c>
      <c r="R15" s="274">
        <f>503/U15</f>
        <v>0.49703557312252966</v>
      </c>
      <c r="S15" s="257">
        <f>43/U15</f>
        <v>4.2490118577075096E-2</v>
      </c>
      <c r="T15" s="316"/>
      <c r="U15" s="281">
        <v>1012</v>
      </c>
    </row>
    <row r="16" spans="1:21" s="255" customFormat="1" ht="15.75">
      <c r="A16" s="88">
        <v>9</v>
      </c>
      <c r="B16" s="87" t="s">
        <v>226</v>
      </c>
      <c r="C16" s="88" t="s">
        <v>179</v>
      </c>
      <c r="D16" s="88" t="s">
        <v>179</v>
      </c>
      <c r="E16" s="274">
        <f>85.3/U16</f>
        <v>1.1976972760460544E-2</v>
      </c>
      <c r="F16" s="274">
        <f>355.3/U16</f>
        <v>4.9887672002246565E-2</v>
      </c>
      <c r="G16" s="268" t="s">
        <v>179</v>
      </c>
      <c r="H16" s="268" t="s">
        <v>179</v>
      </c>
      <c r="I16" s="254">
        <f>27/U16</f>
        <v>3.7910699241786015E-3</v>
      </c>
      <c r="J16" s="274">
        <f>290/U16</f>
        <v>4.0718899185622014E-2</v>
      </c>
      <c r="K16" s="268" t="s">
        <v>179</v>
      </c>
      <c r="L16" s="268" t="s">
        <v>179</v>
      </c>
      <c r="M16" s="274">
        <f>5930.2/U16</f>
        <v>0.83265936534681262</v>
      </c>
      <c r="N16" s="274">
        <f>7750.8/U16</f>
        <v>1.0882898062342039</v>
      </c>
      <c r="O16" s="268" t="s">
        <v>179</v>
      </c>
      <c r="P16" s="268" t="s">
        <v>179</v>
      </c>
      <c r="Q16" s="274">
        <f>2798/U16</f>
        <v>0.39286717214265654</v>
      </c>
      <c r="R16" s="274">
        <f>3604/U16</f>
        <v>0.50603762987924739</v>
      </c>
      <c r="S16" s="257">
        <f>129/U16</f>
        <v>1.8112889637742206E-2</v>
      </c>
      <c r="T16" s="316"/>
      <c r="U16" s="281">
        <v>7122</v>
      </c>
    </row>
    <row r="17" spans="1:21" s="255" customFormat="1" ht="15.75">
      <c r="A17" s="88">
        <v>10</v>
      </c>
      <c r="B17" s="87" t="s">
        <v>227</v>
      </c>
      <c r="C17" s="88" t="s">
        <v>179</v>
      </c>
      <c r="D17" s="88" t="s">
        <v>179</v>
      </c>
      <c r="E17" s="274">
        <f>1111.3/$U17</f>
        <v>5.747310715763343E-2</v>
      </c>
      <c r="F17" s="274">
        <v>0</v>
      </c>
      <c r="G17" s="268" t="s">
        <v>179</v>
      </c>
      <c r="H17" s="268" t="s">
        <v>179</v>
      </c>
      <c r="I17" s="274">
        <f>1347/$U17</f>
        <v>6.9662805130326855E-2</v>
      </c>
      <c r="J17" s="274">
        <v>0</v>
      </c>
      <c r="K17" s="268" t="s">
        <v>179</v>
      </c>
      <c r="L17" s="268" t="s">
        <v>179</v>
      </c>
      <c r="M17" s="274">
        <f>5953.8/$U17</f>
        <v>0.30791270169631774</v>
      </c>
      <c r="N17" s="274">
        <f>12281.9/$U17</f>
        <v>0.63518307819611086</v>
      </c>
      <c r="O17" s="268" t="s">
        <v>179</v>
      </c>
      <c r="P17" s="268" t="s">
        <v>179</v>
      </c>
      <c r="Q17" s="274">
        <f>3646/$U17</f>
        <v>0.18856019859329748</v>
      </c>
      <c r="R17" s="274">
        <f>6908/$U17</f>
        <v>0.35726106743897396</v>
      </c>
      <c r="S17" s="257">
        <f>191/U17</f>
        <v>9.8779478692594125E-3</v>
      </c>
      <c r="T17" s="316"/>
      <c r="U17" s="281">
        <v>19336</v>
      </c>
    </row>
    <row r="18" spans="1:21" s="255" customFormat="1" ht="15.75">
      <c r="A18" s="88">
        <v>11</v>
      </c>
      <c r="B18" s="87" t="s">
        <v>228</v>
      </c>
      <c r="C18" s="88" t="s">
        <v>179</v>
      </c>
      <c r="D18" s="88" t="s">
        <v>179</v>
      </c>
      <c r="E18" s="274">
        <v>0</v>
      </c>
      <c r="F18" s="274">
        <v>0</v>
      </c>
      <c r="G18" s="268" t="s">
        <v>179</v>
      </c>
      <c r="H18" s="268" t="s">
        <v>179</v>
      </c>
      <c r="I18" s="274">
        <v>0</v>
      </c>
      <c r="J18" s="274">
        <v>0</v>
      </c>
      <c r="K18" s="268" t="s">
        <v>179</v>
      </c>
      <c r="L18" s="268" t="s">
        <v>179</v>
      </c>
      <c r="M18" s="274">
        <f>12276.4/U18</f>
        <v>1.560691584032545</v>
      </c>
      <c r="N18" s="274">
        <f>7969.3/U18</f>
        <v>1.0131324688532928</v>
      </c>
      <c r="O18" s="268" t="s">
        <v>179</v>
      </c>
      <c r="P18" s="268" t="s">
        <v>179</v>
      </c>
      <c r="Q18" s="274">
        <f>5878/U18</f>
        <v>0.74726671751843377</v>
      </c>
      <c r="R18" s="274">
        <f>1988/U18</f>
        <v>0.25273328248156623</v>
      </c>
      <c r="S18" s="257">
        <f>65/U18</f>
        <v>8.2634121535723366E-3</v>
      </c>
      <c r="T18" s="316"/>
      <c r="U18" s="281">
        <v>7866</v>
      </c>
    </row>
    <row r="19" spans="1:21" s="255" customFormat="1" ht="15.75">
      <c r="A19" s="88">
        <v>12</v>
      </c>
      <c r="B19" s="87" t="s">
        <v>229</v>
      </c>
      <c r="C19" s="88" t="s">
        <v>179</v>
      </c>
      <c r="D19" s="88" t="s">
        <v>179</v>
      </c>
      <c r="E19" s="274">
        <f>5522.9/$U19</f>
        <v>0.2557371735506575</v>
      </c>
      <c r="F19" s="274">
        <v>0</v>
      </c>
      <c r="G19" s="268" t="s">
        <v>179</v>
      </c>
      <c r="H19" s="268" t="s">
        <v>179</v>
      </c>
      <c r="I19" s="274">
        <f>5117/$U19</f>
        <v>0.23694202630116687</v>
      </c>
      <c r="J19" s="274">
        <v>0</v>
      </c>
      <c r="K19" s="268" t="s">
        <v>179</v>
      </c>
      <c r="L19" s="268" t="s">
        <v>179</v>
      </c>
      <c r="M19" s="274">
        <f>19803.6/$U19</f>
        <v>0.91700314873124644</v>
      </c>
      <c r="N19" s="274">
        <v>0</v>
      </c>
      <c r="O19" s="268" t="s">
        <v>179</v>
      </c>
      <c r="P19" s="268" t="s">
        <v>179</v>
      </c>
      <c r="Q19" s="274">
        <f>16479/$U19</f>
        <v>0.7630579736988331</v>
      </c>
      <c r="R19" s="274">
        <v>0</v>
      </c>
      <c r="S19" s="257">
        <f>95/U19</f>
        <v>4.398962770883497E-3</v>
      </c>
      <c r="T19" s="316"/>
      <c r="U19" s="281">
        <v>21596</v>
      </c>
    </row>
    <row r="20" spans="1:21">
      <c r="A20" s="317" t="s">
        <v>19</v>
      </c>
      <c r="B20" s="317"/>
      <c r="C20" s="58"/>
      <c r="D20" s="58"/>
      <c r="E20" s="89">
        <f>SUM(E8:E19)</f>
        <v>1.7174617715728504</v>
      </c>
      <c r="F20" s="89">
        <f>SUM(F8:F19)</f>
        <v>8.5404448262573651E-2</v>
      </c>
      <c r="G20" s="58"/>
      <c r="H20" s="58"/>
      <c r="I20" s="90">
        <f>SUM(I8:I19)</f>
        <v>0.85642666797571576</v>
      </c>
      <c r="J20" s="90">
        <f>SUM(J8:J19)</f>
        <v>4.9233483572740544E-2</v>
      </c>
      <c r="K20" s="109" t="s">
        <v>179</v>
      </c>
      <c r="L20" s="109" t="s">
        <v>179</v>
      </c>
      <c r="M20" s="89">
        <f>SUM(M8:M19)</f>
        <v>13.53875292379645</v>
      </c>
      <c r="N20" s="89">
        <f>SUM(N8:N19)</f>
        <v>6.1618805062858311</v>
      </c>
      <c r="O20" s="109" t="s">
        <v>179</v>
      </c>
      <c r="P20" s="109" t="s">
        <v>179</v>
      </c>
      <c r="Q20" s="89">
        <f>SUM(Q8:Q19)</f>
        <v>7.4598291974446012</v>
      </c>
      <c r="R20" s="89">
        <f>SUM(R8:R19)</f>
        <v>3.0011436083366352</v>
      </c>
      <c r="S20" s="282">
        <f>SUM(S8:S19)</f>
        <v>0.17492937544967899</v>
      </c>
      <c r="U20" s="2">
        <f>SUM(U8:U19)</f>
        <v>174375</v>
      </c>
    </row>
  </sheetData>
  <mergeCells count="11">
    <mergeCell ref="T8:T19"/>
    <mergeCell ref="A20:B20"/>
    <mergeCell ref="S4:S6"/>
    <mergeCell ref="T4:T6"/>
    <mergeCell ref="A2:T2"/>
    <mergeCell ref="A4:A6"/>
    <mergeCell ref="B4:B6"/>
    <mergeCell ref="C4:F5"/>
    <mergeCell ref="G4:J5"/>
    <mergeCell ref="K4:N5"/>
    <mergeCell ref="O4:R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5"/>
  <sheetViews>
    <sheetView zoomScaleNormal="100" zoomScaleSheetLayoutView="115" workbookViewId="0">
      <selection activeCell="G26" sqref="G26"/>
    </sheetView>
  </sheetViews>
  <sheetFormatPr defaultColWidth="9.140625" defaultRowHeight="15"/>
  <cols>
    <col min="1" max="1" width="137.28515625" style="2" customWidth="1"/>
    <col min="2" max="16384" width="9.140625" style="2"/>
  </cols>
  <sheetData>
    <row r="1" spans="1:1" ht="41.25" customHeight="1">
      <c r="A1" s="50" t="s">
        <v>167</v>
      </c>
    </row>
    <row r="2" spans="1:1">
      <c r="A2" s="84" t="s">
        <v>215</v>
      </c>
    </row>
    <row r="3" spans="1:1">
      <c r="A3" s="85" t="s">
        <v>216</v>
      </c>
    </row>
    <row r="4" spans="1:1">
      <c r="A4" s="85" t="s">
        <v>218</v>
      </c>
    </row>
    <row r="5" spans="1:1">
      <c r="A5" s="83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B7"/>
  <sheetViews>
    <sheetView zoomScaleNormal="100" zoomScaleSheetLayoutView="100" workbookViewId="0">
      <selection activeCell="E29" sqref="E29"/>
    </sheetView>
  </sheetViews>
  <sheetFormatPr defaultColWidth="9.140625" defaultRowHeight="15"/>
  <cols>
    <col min="1" max="1" width="55.42578125" style="2" customWidth="1"/>
    <col min="2" max="2" width="26.7109375" style="2" customWidth="1"/>
    <col min="3" max="16384" width="9.140625" style="2"/>
  </cols>
  <sheetData>
    <row r="1" spans="1:2" ht="15.75">
      <c r="A1" s="51" t="s">
        <v>159</v>
      </c>
    </row>
    <row r="3" spans="1:2">
      <c r="A3" s="320" t="s">
        <v>630</v>
      </c>
      <c r="B3" s="320"/>
    </row>
    <row r="4" spans="1:2">
      <c r="A4" s="321"/>
      <c r="B4" s="322"/>
    </row>
    <row r="5" spans="1:2">
      <c r="A5" s="91"/>
      <c r="B5" s="92"/>
    </row>
    <row r="6" spans="1:2">
      <c r="A6" s="91"/>
      <c r="B6" s="92"/>
    </row>
    <row r="7" spans="1:2">
      <c r="A7" s="93"/>
      <c r="B7" s="93"/>
    </row>
  </sheetData>
  <mergeCells count="2">
    <mergeCell ref="A3:B3"/>
    <mergeCell ref="A4:B4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18</vt:i4>
      </vt:variant>
    </vt:vector>
  </HeadingPairs>
  <TitlesOfParts>
    <vt:vector size="40" baseType="lpstr">
      <vt:lpstr>1.1</vt:lpstr>
      <vt:lpstr>1.2</vt:lpstr>
      <vt:lpstr>1.2-</vt:lpstr>
      <vt:lpstr>1.3</vt:lpstr>
      <vt:lpstr>1.4</vt:lpstr>
      <vt:lpstr>2.1</vt:lpstr>
      <vt:lpstr>2.2</vt:lpstr>
      <vt:lpstr>2.3</vt:lpstr>
      <vt:lpstr>3.1</vt:lpstr>
      <vt:lpstr>3.2 </vt:lpstr>
      <vt:lpstr>3.4 </vt:lpstr>
      <vt:lpstr>3.5 </vt:lpstr>
      <vt:lpstr>4.1 </vt:lpstr>
      <vt:lpstr>4.2</vt:lpstr>
      <vt:lpstr>4.3</vt:lpstr>
      <vt:lpstr>4.4</vt:lpstr>
      <vt:lpstr>4.5 </vt:lpstr>
      <vt:lpstr>4.6 </vt:lpstr>
      <vt:lpstr>4.7 </vt:lpstr>
      <vt:lpstr>4.8 </vt:lpstr>
      <vt:lpstr>4.9</vt:lpstr>
      <vt:lpstr>Лист1</vt:lpstr>
      <vt:lpstr>'1.1'!Область_печати</vt:lpstr>
      <vt:lpstr>'1.2'!Область_печати</vt:lpstr>
      <vt:lpstr>'1.2-'!Область_печати</vt:lpstr>
      <vt:lpstr>'1.3'!Область_печати</vt:lpstr>
      <vt:lpstr>'1.4'!Область_печати</vt:lpstr>
      <vt:lpstr>'2.1'!Область_печати</vt:lpstr>
      <vt:lpstr>'2.2'!Область_печати</vt:lpstr>
      <vt:lpstr>'2.3'!Область_печати</vt:lpstr>
      <vt:lpstr>'3.1'!Область_печати</vt:lpstr>
      <vt:lpstr>'3.2 '!Область_печати</vt:lpstr>
      <vt:lpstr>'3.4 '!Область_печати</vt:lpstr>
      <vt:lpstr>'3.5 '!Область_печати</vt:lpstr>
      <vt:lpstr>'4.1 '!Область_печати</vt:lpstr>
      <vt:lpstr>'4.2'!Область_печати</vt:lpstr>
      <vt:lpstr>'4.5 '!Область_печати</vt:lpstr>
      <vt:lpstr>'4.7 '!Область_печати</vt:lpstr>
      <vt:lpstr>'4.8 '!Область_печати</vt:lpstr>
      <vt:lpstr>'4.9'!Область_печати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p.krivobokov</dc:creator>
  <cp:lastModifiedBy>User</cp:lastModifiedBy>
  <cp:lastPrinted>2019-03-29T10:38:18Z</cp:lastPrinted>
  <dcterms:created xsi:type="dcterms:W3CDTF">2015-07-15T07:48:26Z</dcterms:created>
  <dcterms:modified xsi:type="dcterms:W3CDTF">2020-03-26T09:28:35Z</dcterms:modified>
</cp:coreProperties>
</file>