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21075" windowHeight="9735"/>
  </bookViews>
  <sheets>
    <sheet name="1.1" sheetId="16" r:id="rId1"/>
    <sheet name="1.2" sheetId="22" r:id="rId2"/>
    <sheet name="1.2-" sheetId="17" state="hidden" r:id="rId3"/>
    <sheet name="1.3" sheetId="18" r:id="rId4"/>
    <sheet name="1.4" sheetId="19" r:id="rId5"/>
    <sheet name="2.1" sheetId="1" r:id="rId6"/>
    <sheet name="2.2" sheetId="2" r:id="rId7"/>
    <sheet name="2.3" sheetId="3" r:id="rId8"/>
    <sheet name="3.1" sheetId="20" r:id="rId9"/>
    <sheet name="3.2" sheetId="21" r:id="rId10"/>
    <sheet name="3.4" sheetId="5" r:id="rId11"/>
    <sheet name="3.5" sheetId="6" r:id="rId12"/>
    <sheet name="4.1" sheetId="7" r:id="rId13"/>
    <sheet name="4.2" sheetId="8" r:id="rId14"/>
    <sheet name="4.3" sheetId="9" r:id="rId15"/>
    <sheet name="4.4" sheetId="10" r:id="rId16"/>
    <sheet name="4.5" sheetId="11" r:id="rId17"/>
    <sheet name="4.6" sheetId="12" r:id="rId18"/>
    <sheet name="4.7" sheetId="13" r:id="rId19"/>
    <sheet name="4.8" sheetId="14" r:id="rId20"/>
    <sheet name="4.9" sheetId="15" state="hidden" r:id="rId21"/>
  </sheets>
  <definedNames>
    <definedName name="_xlnm.Print_Area" localSheetId="0">'1.1'!$A$1:$T$30</definedName>
    <definedName name="_xlnm.Print_Area" localSheetId="1">'1.2'!$A$1:$AP$15</definedName>
    <definedName name="_xlnm.Print_Area" localSheetId="2">'1.2-'!$A$1:$E$3</definedName>
    <definedName name="_xlnm.Print_Area" localSheetId="3">'1.3'!$A$1:$F$11</definedName>
    <definedName name="_xlnm.Print_Area" localSheetId="4">'1.4'!$A$1:$C$6</definedName>
    <definedName name="_xlnm.Print_Area" localSheetId="5">'2.1'!$A$1:$E$28</definedName>
    <definedName name="_xlnm.Print_Area" localSheetId="6">'2.2'!$A$1:$T$12</definedName>
    <definedName name="_xlnm.Print_Area" localSheetId="7">'2.3'!$A$1</definedName>
    <definedName name="_xlnm.Print_Area" localSheetId="8">'3.1'!$A$1:$B$5</definedName>
    <definedName name="_xlnm.Print_Area" localSheetId="9">'3.2'!$A$2:$V$2</definedName>
    <definedName name="_xlnm.Print_Area" localSheetId="10">'3.4'!$A$1:$R$17</definedName>
    <definedName name="_xlnm.Print_Area" localSheetId="11">'3.5'!$A$1:$K$21</definedName>
    <definedName name="_xlnm.Print_Area" localSheetId="12">'4.1'!$A$1:$Q$29</definedName>
    <definedName name="_xlnm.Print_Area" localSheetId="13">'4.2'!$A$1:$K$17</definedName>
    <definedName name="_xlnm.Print_Area" localSheetId="18">'4.7'!$A$1:$A$4</definedName>
    <definedName name="_xlnm.Print_Area" localSheetId="20">'4.9'!$A$1:$AE$16</definedName>
  </definedNames>
  <calcPr calcId="125725"/>
</workbook>
</file>

<file path=xl/calcChain.xml><?xml version="1.0" encoding="utf-8"?>
<calcChain xmlns="http://schemas.openxmlformats.org/spreadsheetml/2006/main">
  <c r="D26" i="16"/>
  <c r="T25"/>
  <c r="T18"/>
  <c r="M26"/>
  <c r="H17" i="5" l="1"/>
  <c r="J14" i="22"/>
  <c r="D14"/>
  <c r="E14"/>
  <c r="F14"/>
  <c r="G14"/>
  <c r="H14"/>
  <c r="I14"/>
  <c r="K14"/>
  <c r="L14"/>
  <c r="M14"/>
  <c r="N14"/>
  <c r="O14"/>
  <c r="P14"/>
  <c r="Q14"/>
  <c r="R14"/>
  <c r="S14"/>
  <c r="T14"/>
  <c r="U14"/>
  <c r="V14"/>
  <c r="W14"/>
  <c r="X14"/>
  <c r="Y14"/>
  <c r="Z14"/>
  <c r="Y10"/>
  <c r="C14"/>
  <c r="J19" i="2" l="1"/>
  <c r="I19"/>
  <c r="I18"/>
  <c r="J18"/>
  <c r="J17"/>
  <c r="I17"/>
  <c r="I16"/>
  <c r="J16"/>
  <c r="J15"/>
  <c r="I15"/>
  <c r="I14"/>
  <c r="J14"/>
  <c r="J13"/>
  <c r="I13"/>
  <c r="I12"/>
  <c r="J12"/>
  <c r="J11"/>
  <c r="I11"/>
  <c r="I10"/>
  <c r="J10"/>
  <c r="J9"/>
  <c r="I9"/>
  <c r="I8"/>
  <c r="J8"/>
  <c r="E19"/>
  <c r="F19"/>
  <c r="F18"/>
  <c r="S19"/>
  <c r="E18"/>
  <c r="E17"/>
  <c r="F17"/>
  <c r="F16"/>
  <c r="E16"/>
  <c r="E15"/>
  <c r="F14"/>
  <c r="F15"/>
  <c r="F13"/>
  <c r="E14"/>
  <c r="E13"/>
  <c r="F12"/>
  <c r="E12"/>
  <c r="E11"/>
  <c r="F11"/>
  <c r="F8"/>
  <c r="E8"/>
  <c r="S17" l="1"/>
  <c r="S16"/>
  <c r="S14"/>
  <c r="S13"/>
  <c r="S12"/>
  <c r="S11"/>
  <c r="S10"/>
  <c r="S9"/>
  <c r="F9" l="1"/>
  <c r="E9"/>
  <c r="E10"/>
  <c r="F10"/>
  <c r="E26" i="1"/>
  <c r="E25"/>
  <c r="E21"/>
  <c r="E20"/>
  <c r="E16"/>
  <c r="E15"/>
  <c r="E11"/>
  <c r="E10"/>
  <c r="C25"/>
  <c r="C26"/>
  <c r="C15"/>
  <c r="C16"/>
  <c r="C21"/>
  <c r="C20"/>
  <c r="C11"/>
  <c r="C10"/>
  <c r="D26" l="1"/>
  <c r="D25"/>
  <c r="D20"/>
  <c r="D21"/>
  <c r="D16"/>
  <c r="D15"/>
  <c r="D10"/>
  <c r="D11"/>
  <c r="D11" i="19" l="1"/>
  <c r="D12"/>
  <c r="D13"/>
  <c r="D14"/>
  <c r="D10"/>
  <c r="T13" i="16" l="1"/>
  <c r="Q29" i="7" l="1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Q25" s="1"/>
  <c r="Q9" s="1"/>
  <c r="P26"/>
  <c r="O26"/>
  <c r="N26"/>
  <c r="M26"/>
  <c r="M25" s="1"/>
  <c r="M9" s="1"/>
  <c r="L26"/>
  <c r="K26"/>
  <c r="J26"/>
  <c r="I26"/>
  <c r="I25" s="1"/>
  <c r="I9" s="1"/>
  <c r="H26"/>
  <c r="G26"/>
  <c r="F26"/>
  <c r="E26"/>
  <c r="E25" s="1"/>
  <c r="E9" s="1"/>
  <c r="D26"/>
  <c r="C26"/>
  <c r="O25"/>
  <c r="K25"/>
  <c r="G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O9"/>
  <c r="K9"/>
  <c r="G9"/>
  <c r="C9"/>
  <c r="D25" l="1"/>
  <c r="D9" s="1"/>
  <c r="F25"/>
  <c r="F9" s="1"/>
  <c r="H25"/>
  <c r="H9" s="1"/>
  <c r="J25"/>
  <c r="J9" s="1"/>
  <c r="L25"/>
  <c r="L9" s="1"/>
  <c r="N25"/>
  <c r="N9" s="1"/>
  <c r="P25"/>
  <c r="P9" s="1"/>
  <c r="C4" i="17" l="1"/>
  <c r="T14" i="16" l="1"/>
  <c r="T26" l="1"/>
  <c r="A7" i="15"/>
  <c r="A8" s="1"/>
  <c r="A9" s="1"/>
  <c r="A10" s="1"/>
  <c r="A11" s="1"/>
  <c r="A12" s="1"/>
  <c r="A13" s="1"/>
  <c r="A14" s="1"/>
  <c r="A15" s="1"/>
  <c r="A16" s="1"/>
</calcChain>
</file>

<file path=xl/comments1.xml><?xml version="1.0" encoding="utf-8"?>
<comments xmlns="http://schemas.openxmlformats.org/spreadsheetml/2006/main">
  <authors>
    <author>Андревa Ольга Владимировна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Андревa Ольга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в таблице 4.3</t>
        </r>
      </text>
    </comment>
  </commentList>
</comments>
</file>

<file path=xl/sharedStrings.xml><?xml version="1.0" encoding="utf-8"?>
<sst xmlns="http://schemas.openxmlformats.org/spreadsheetml/2006/main" count="634" uniqueCount="320">
  <si>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</si>
  <si>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</si>
  <si>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</si>
  <si>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</si>
  <si>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</si>
  <si>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</si>
  <si>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</si>
  <si>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</si>
  <si>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</si>
  <si>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</si>
  <si>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</si>
  <si>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</si>
  <si>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</si>
  <si>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</si>
  <si>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</si>
  <si>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</si>
  <si>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</si>
  <si>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</si>
  <si>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</si>
  <si>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</si>
  <si>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</si>
  <si>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</si>
  <si>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</si>
  <si>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</si>
  <si>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</si>
  <si>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</si>
  <si>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</si>
  <si>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</si>
  <si>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</si>
  <si>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</si>
  <si>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</si>
  <si>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</si>
  <si>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</si>
  <si>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</si>
  <si>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</si>
  <si>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</si>
  <si>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</si>
  <si>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</si>
  <si>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Категория надежности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</si>
  <si>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</si>
  <si>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</si>
  <si>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</si>
  <si>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</si>
  <si>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</si>
  <si>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</si>
  <si>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</si>
  <si>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</si>
  <si>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</si>
  <si>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</si>
  <si>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</si>
  <si>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</si>
  <si>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</si>
  <si>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</si>
  <si>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</si>
  <si>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</si>
  <si>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</si>
  <si>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</si>
  <si>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</si>
  <si>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</si>
  <si>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</si>
  <si>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</si>
  <si>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</si>
  <si>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</si>
  <si>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</si>
  <si>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</si>
  <si>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</si>
  <si>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</si>
  <si>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</si>
  <si>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</si>
  <si>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</si>
  <si>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</si>
  <si>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</si>
  <si>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</si>
  <si>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</si>
  <si>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</si>
  <si>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</si>
  <si>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</si>
  <si>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</si>
  <si>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</si>
  <si>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</si>
  <si>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</si>
  <si>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</si>
  <si>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 xml:space="preserve">Показатель средней продолжительности прекращений передачи электрической энергии,         (П SAIDI) 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</si>
  <si>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</si>
  <si>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</si>
  <si>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</si>
  <si>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Категории обращений потребите-лей</t>
  </si>
  <si>
    <t>оказание услуг по передаче электричес-кой энергии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</si>
  <si>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</si>
  <si>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</si>
  <si>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</si>
  <si>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</si>
  <si>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</si>
  <si>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</si>
  <si>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</si>
  <si>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</si>
  <si>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</si>
  <si>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</si>
  <si>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</si>
  <si>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</si>
  <si>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</si>
  <si>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</si>
  <si>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</si>
  <si>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</si>
  <si>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</si>
  <si>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</si>
  <si>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</si>
  <si>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</si>
  <si>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</si>
  <si>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</si>
  <si>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</si>
  <si>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</si>
  <si>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</si>
  <si>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</si>
  <si>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</si>
  <si>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</si>
  <si>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</si>
  <si>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</si>
  <si>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</si>
  <si>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</si>
  <si>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</si>
  <si>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</si>
  <si>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</si>
  <si>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</si>
  <si>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</si>
  <si>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</si>
  <si>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</si>
  <si>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</si>
  <si>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</si>
  <si>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</si>
  <si>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</si>
  <si>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</si>
  <si>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</si>
  <si>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</si>
  <si>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</si>
  <si>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</si>
  <si>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</si>
  <si>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</si>
  <si>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</si>
  <si>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</si>
  <si>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</si>
  <si>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</si>
  <si>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</si>
  <si>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</si>
  <si>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</si>
  <si>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</si>
  <si>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</si>
  <si>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</si>
  <si>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</si>
  <si>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</si>
  <si>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</si>
  <si>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</si>
  <si>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</si>
  <si>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</si>
  <si>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</si>
  <si>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</si>
  <si>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</si>
  <si>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</si>
  <si>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</si>
  <si>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</si>
  <si>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</si>
  <si>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Юридические лица</t>
  </si>
  <si>
    <t>Физические лица</t>
  </si>
  <si>
    <t>ВСЕГО ПОТРЕБИТЕЛЕЙ</t>
  </si>
  <si>
    <t>Объекты электросетевого хозяйства</t>
  </si>
  <si>
    <t>Динамика изменения показателя,%</t>
  </si>
  <si>
    <t xml:space="preserve">1.4. Уровень физического износа объектов электросетевого хозяйства сетевой организации </t>
  </si>
  <si>
    <t xml:space="preserve">3.1. Информация о наличии невостребованной мощности </t>
  </si>
  <si>
    <t xml:space="preserve">номер телефона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</si>
  <si>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</si>
  <si>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</si>
  <si>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</si>
  <si>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</si>
  <si>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</si>
  <si>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</si>
  <si>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количество потребителей услуг сетевой организации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</si>
  <si>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</si>
  <si>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</si>
  <si>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</si>
  <si>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</si>
  <si>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</si>
  <si>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</si>
  <si>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</si>
  <si>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</si>
  <si>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</si>
  <si>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</si>
  <si>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</si>
  <si>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</si>
  <si>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 xml:space="preserve"> Информация о качестве обслуживания потребителей услуг за  2016 год                                     </t>
  </si>
  <si>
    <t>Оборудованных ПУ за 2016 год</t>
  </si>
  <si>
    <t>Челябинская область</t>
  </si>
  <si>
    <t>-</t>
  </si>
  <si>
    <t>(347) 266-14-01               (347) 266-31-08</t>
  </si>
  <si>
    <t>Данные обращения не поступали.</t>
  </si>
  <si>
    <t>Дополнительные услуги не оказывались.</t>
  </si>
  <si>
    <t>Обновление "Положений о взаимоотношения с потребителями".</t>
  </si>
  <si>
    <t>Тема опроса:  Соответствие качества продукции, работ, услуг условиям договора (техническим требованиям Заказчика). Результат опроса: удовлетворены.</t>
  </si>
  <si>
    <t>Тема опроса:  Надежность выполнения договорных обязательств (в т.ч. соблюдение сроков поставки продукции, выполнения работ, оказания услуг). Результат опроса: удовлетворены.</t>
  </si>
  <si>
    <t>Тема опроса:  Качество обратной связи при решении совместных проблем. Результат опроса: удовлетворены.</t>
  </si>
  <si>
    <t>Приуральский филиал ООО "ГИП-Электро"</t>
  </si>
  <si>
    <t>2015 г.</t>
  </si>
  <si>
    <t>2016 г.</t>
  </si>
  <si>
    <t>№ п/п</t>
  </si>
  <si>
    <t>Кол-во потребителей услуг, шт</t>
  </si>
  <si>
    <t>Уровень напряжения</t>
  </si>
  <si>
    <t>Белебей</t>
  </si>
  <si>
    <t>Большеустьикинское</t>
  </si>
  <si>
    <t>В. Киги</t>
  </si>
  <si>
    <t>Магинск</t>
  </si>
  <si>
    <t>НБКТ</t>
  </si>
  <si>
    <t>Стерлибаш</t>
  </si>
  <si>
    <t>Кол-во точек поставки, шт.</t>
  </si>
  <si>
    <t>Количество точек поставки:</t>
  </si>
  <si>
    <t>Вводные устройства в многоквартирные дома</t>
  </si>
  <si>
    <t>Бесхозяйные обьекты электросетевого хозяйства</t>
  </si>
  <si>
    <t>Всего:</t>
  </si>
  <si>
    <t>2</t>
  </si>
  <si>
    <t>4</t>
  </si>
  <si>
    <t>5</t>
  </si>
  <si>
    <t>6</t>
  </si>
  <si>
    <t>в т.ч. приборы учета с возможностью дистанционного сбора данных</t>
  </si>
  <si>
    <t>с разбивкой на:</t>
  </si>
  <si>
    <t xml:space="preserve"> ООО "ГИП-Электро"</t>
  </si>
  <si>
    <t>Республика Башкортостан</t>
  </si>
  <si>
    <t>Общая информация о сетевой организации</t>
  </si>
  <si>
    <t>1.2 Количество  точек  поставки  всего  и  точек  поставки,  оборудованных  приборами  учета электрической  энергии</t>
  </si>
  <si>
    <t>Все точки поставки оборудованы приборами учета ээектрической энергии</t>
  </si>
  <si>
    <t>1.3. Информация об объектах электросетевого хозяйства сетевой организации</t>
  </si>
  <si>
    <t xml:space="preserve">Значение показателя, </t>
  </si>
  <si>
    <t>единицы измерения, (шт., км)</t>
  </si>
  <si>
    <t>ВЛ - СН2 (1-20кВ)</t>
  </si>
  <si>
    <t>КЛ - СН2 (1-20кВ)</t>
  </si>
  <si>
    <t>ВЛ - НН (до 1кВ)</t>
  </si>
  <si>
    <t>КЛ - НН (до 1кВ)</t>
  </si>
  <si>
    <t xml:space="preserve">ТП </t>
  </si>
  <si>
    <t>км</t>
  </si>
  <si>
    <t>шт.</t>
  </si>
  <si>
    <t>1.4 Уровень физического износа объектов электросетевого хозяйства ООО "ГИП-Электро"</t>
  </si>
  <si>
    <t>наименование объекта электросетевого хозяйства</t>
  </si>
  <si>
    <t>динамика изменения в %</t>
  </si>
  <si>
    <t>ВЛ-0,4 кВ</t>
  </si>
  <si>
    <t>ВЛ-10 кВ</t>
  </si>
  <si>
    <t>КЛ-0,4 кВ</t>
  </si>
  <si>
    <t>КЛ-10 кВ</t>
  </si>
  <si>
    <t>ТП-10/0,4</t>
  </si>
  <si>
    <t>% износа по состоянию на 01.01.2016г.</t>
  </si>
  <si>
    <t>% износа по состоянию на 01.01.2017г.</t>
  </si>
  <si>
    <t>ОП с. Архангельское</t>
  </si>
  <si>
    <t>Техническое перевооружение и реконструкция объектов;</t>
  </si>
  <si>
    <t>Мероприятия по подготовке электрических сетей к работе в осенне-зимний период</t>
  </si>
  <si>
    <t>Техническое перевооружение и реконструкция объектов; Мероприятия по подготовке электрических сетей к работе в осенне-зимний период; Капитальный ремонт</t>
  </si>
  <si>
    <t>Капитальный ремонт</t>
  </si>
  <si>
    <t>ОП с. Стерлибашево</t>
  </si>
  <si>
    <t>ОП с. Большеустьикинское</t>
  </si>
  <si>
    <t>ОП с. В.Киги</t>
  </si>
  <si>
    <t>ОП с. Магинск</t>
  </si>
  <si>
    <t>ОП с. Новобелокатай</t>
  </si>
  <si>
    <t>ОП с. Шаран</t>
  </si>
  <si>
    <t>ОП г. Белебей</t>
  </si>
  <si>
    <t>ОП г. Мелеуз</t>
  </si>
  <si>
    <t>ОП с. К.Мияки</t>
  </si>
  <si>
    <t>ОП с. Федоровка</t>
  </si>
  <si>
    <t>ОП с. Красноусольский</t>
  </si>
  <si>
    <t>н/д</t>
  </si>
  <si>
    <t xml:space="preserve">Мероприятия не проводились. </t>
  </si>
  <si>
    <t>1. Сведения о наличии объема свободной для технологического присоединения потребителей трансформаторной мощности представлены на официальном сайте ООО "ГИП-Электро" по следующей ссылке:</t>
  </si>
  <si>
    <t>http://gipelektro.ru/upload/O%20nalichii%20obema.xls</t>
  </si>
  <si>
    <t>Архангельское</t>
  </si>
  <si>
    <t>Белокатай</t>
  </si>
  <si>
    <t>Киги</t>
  </si>
  <si>
    <t>К. Мияки</t>
  </si>
  <si>
    <t>Красноусольск</t>
  </si>
  <si>
    <t>Мелеуз</t>
  </si>
  <si>
    <t>Стерлибашево</t>
  </si>
  <si>
    <t>Федоровка</t>
  </si>
  <si>
    <t>Шаран</t>
  </si>
  <si>
    <t>1. На сайте ООО "ГИП-Электро" создали возможность подачи заявки в электронной форме посредствам личного кабинета. Возможность следить за статусом исполнения заявки. Возможность личной переписки между сетевой организацией и заявителем.</t>
  </si>
  <si>
    <t>2. Увеличили штат инженеров службы технологического присоединения в обособленных подразделениях.</t>
  </si>
  <si>
    <t>ОП с.Новобелокатай</t>
  </si>
  <si>
    <t>Пункт обслуживания</t>
  </si>
  <si>
    <t>452580, Белокатайский район, с.Новобелокатай, ул.Советская, 174</t>
  </si>
  <si>
    <t>(34750) 2-22-72</t>
  </si>
  <si>
    <t>пн.-пт. 8.00-17.00, обед 12.00-13.00 </t>
  </si>
  <si>
    <t>Передача и распределение электрической энергии.</t>
  </si>
  <si>
    <t>ОП с.Магинск</t>
  </si>
  <si>
    <t>452373, Караидельский район, с.Магинск, ул.Коммунистическая, 31</t>
  </si>
  <si>
    <t>(34744) 2-31-13</t>
  </si>
  <si>
    <t>ОП с.Большеустьикинское</t>
  </si>
  <si>
    <t>452550, Мечетлинский район, с.Большеустьикинское, ул.Революционная, 94</t>
  </si>
  <si>
    <t>(34770) 2-02-66</t>
  </si>
  <si>
    <t>ОП с.Стерлибашево</t>
  </si>
  <si>
    <t>453180, Стерлибашевский район, с.Стерлибашево, ул.Галеева, 1а</t>
  </si>
  <si>
    <t>(34739) 2-21-51</t>
  </si>
  <si>
    <t>ОП с.Шаран</t>
  </si>
  <si>
    <t>452630, Шаранский район, с.Шаран, ул.Школьная, 1</t>
  </si>
  <si>
    <t>(34769) 3-05-08</t>
  </si>
  <si>
    <t>ОП г.Белебей</t>
  </si>
  <si>
    <t>452004, Белебеевский р-н, г.Белебей, ул.Восточная, 79</t>
  </si>
  <si>
    <t>(3478)65-39-82</t>
  </si>
  <si>
    <t>ОП с.В.Киги</t>
  </si>
  <si>
    <t>452500, Кигинский р-н, с.В.Киги, ул. Ибрагимова,14</t>
  </si>
  <si>
    <t>(34748) 3-07-20</t>
  </si>
  <si>
    <t>ОП с.Архангельское</t>
  </si>
  <si>
    <t>453030,Архангельский р-н, с.Архангельское, ул.Советская 41</t>
  </si>
  <si>
    <t>(34774) 2-25-93</t>
  </si>
  <si>
    <t>ОП г.Мелеуз</t>
  </si>
  <si>
    <t>453854,Мелеузовский р-н, г.Мелеуз,ул.Ленина,3</t>
  </si>
  <si>
    <t>(34764) 3-34-44</t>
  </si>
  <si>
    <t>ОП с.К.Мияки</t>
  </si>
  <si>
    <t>452080, Миякинский р-н, с.Киргиз-Мияки, ул.Ленина, 21</t>
  </si>
  <si>
    <t>(34788) 30-7-90</t>
  </si>
  <si>
    <t>ОП с.Красноусольский</t>
  </si>
  <si>
    <t>453050, Гафурийский р-н, с.Красноусольский, ул.Коммунистическая, 10</t>
  </si>
  <si>
    <t xml:space="preserve">(34740) 2-69-98 </t>
  </si>
  <si>
    <t>ОП с.Федоровка</t>
  </si>
  <si>
    <t>453280, Федоровский р-н, с.Федоровка, ул.Коммунистическая, 72</t>
  </si>
  <si>
    <t>(34746) 2-10-50</t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</si>
  <si>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пунктом)_x000D_
_x000D_
</t>
  </si>
  <si>
    <t>http://gipelektro.ru/rackrytie-informaci-v-sotvetstvi-s-postanovleniem-pravitelstva-rf-24-ot-21-01-2004-g/ob-uslovijah-na-kotoryh-osuschestvljaetsja-postavka-reguliruemyh-tovarov-rabot-uslug-i-ob-uslovijah-dogovorov-na-te.html</t>
  </si>
  <si>
    <t>электронная таблица для расчета представлена на официальном сайте ООО "ГИП-Электро" по следующей ссылке: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</si>
</sst>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justify" vertical="top" wrapText="1"/>
    </xf>
    <xf numFmtId="164" fontId="6" fillId="3" borderId="7" xfId="0" applyNumberFormat="1" applyFont="1" applyFill="1" applyBorder="1" applyAlignment="1">
      <alignment horizontal="center" vertical="top" wrapText="1"/>
    </xf>
    <xf numFmtId="1" fontId="6" fillId="3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6" fillId="4" borderId="7" xfId="0" applyFont="1" applyFill="1" applyBorder="1" applyAlignment="1">
      <alignment horizontal="justify" vertical="top" wrapText="1"/>
    </xf>
    <xf numFmtId="0" fontId="6" fillId="4" borderId="0" xfId="0" applyFont="1" applyFill="1"/>
    <xf numFmtId="1" fontId="6" fillId="4" borderId="7" xfId="0" applyNumberFormat="1" applyFont="1" applyFill="1" applyBorder="1" applyAlignment="1">
      <alignment horizontal="center" vertical="top" wrapText="1"/>
    </xf>
    <xf numFmtId="16" fontId="6" fillId="0" borderId="7" xfId="0" applyNumberFormat="1" applyFont="1" applyBorder="1" applyAlignment="1">
      <alignment horizontal="center" vertical="top" wrapText="1"/>
    </xf>
    <xf numFmtId="49" fontId="6" fillId="0" borderId="0" xfId="0" applyNumberFormat="1" applyFont="1"/>
    <xf numFmtId="0" fontId="8" fillId="0" borderId="0" xfId="0" applyFont="1"/>
    <xf numFmtId="49" fontId="6" fillId="4" borderId="7" xfId="0" applyNumberFormat="1" applyFont="1" applyFill="1" applyBorder="1" applyAlignment="1">
      <alignment horizont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7" xfId="0" applyFont="1" applyBorder="1" applyAlignment="1">
      <alignment vertical="top" wrapText="1"/>
    </xf>
    <xf numFmtId="16" fontId="3" fillId="4" borderId="7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justify" vertical="top" wrapText="1"/>
    </xf>
    <xf numFmtId="0" fontId="3" fillId="4" borderId="0" xfId="0" applyFont="1" applyFill="1"/>
    <xf numFmtId="16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14" fontId="3" fillId="4" borderId="7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left" vertical="top" wrapText="1"/>
    </xf>
    <xf numFmtId="14" fontId="6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/>
    </xf>
    <xf numFmtId="14" fontId="6" fillId="0" borderId="7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vertical="center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vertical="top" wrapText="1"/>
    </xf>
    <xf numFmtId="1" fontId="3" fillId="5" borderId="7" xfId="0" applyNumberFormat="1" applyFont="1" applyFill="1" applyBorder="1" applyAlignment="1">
      <alignment horizontal="center" vertical="top" wrapText="1"/>
    </xf>
    <xf numFmtId="16" fontId="3" fillId="5" borderId="7" xfId="0" applyNumberFormat="1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justify"/>
    </xf>
    <xf numFmtId="16" fontId="11" fillId="0" borderId="0" xfId="0" applyNumberFormat="1" applyFont="1"/>
    <xf numFmtId="0" fontId="11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49" fontId="6" fillId="0" borderId="7" xfId="0" applyNumberFormat="1" applyFont="1" applyBorder="1" applyAlignment="1">
      <alignment vertical="center" wrapText="1"/>
    </xf>
    <xf numFmtId="0" fontId="3" fillId="0" borderId="0" xfId="0" applyFont="1" applyAlignment="1"/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vertical="top" wrapText="1"/>
    </xf>
    <xf numFmtId="0" fontId="15" fillId="0" borderId="7" xfId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vertical="top" wrapText="1"/>
    </xf>
    <xf numFmtId="0" fontId="3" fillId="7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vertical="center" wrapText="1"/>
    </xf>
    <xf numFmtId="0" fontId="3" fillId="0" borderId="0" xfId="0" applyFont="1" applyAlignment="1"/>
    <xf numFmtId="0" fontId="3" fillId="2" borderId="11" xfId="0" applyFont="1" applyFill="1" applyBorder="1" applyAlignment="1">
      <alignment horizontal="justify" wrapText="1"/>
    </xf>
    <xf numFmtId="0" fontId="3" fillId="2" borderId="6" xfId="0" applyFont="1" applyFill="1" applyBorder="1" applyAlignment="1">
      <alignment horizontal="justify" wrapText="1"/>
    </xf>
    <xf numFmtId="0" fontId="3" fillId="2" borderId="11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1" fillId="0" borderId="0" xfId="0" applyNumberFormat="1" applyFont="1" applyAlignment="1">
      <alignment wrapText="1"/>
    </xf>
    <xf numFmtId="0" fontId="11" fillId="0" borderId="0" xfId="0" applyFont="1" applyAlignment="1"/>
    <xf numFmtId="0" fontId="6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16" fillId="0" borderId="0" xfId="2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1000125</xdr:colOff>
      <xdr:row>22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gipelektro.ru/upload/O%20nalichii%20obem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5"/>
  <sheetViews>
    <sheetView tabSelected="1" workbookViewId="0">
      <selection activeCell="D27" sqref="D27"/>
    </sheetView>
  </sheetViews>
  <sheetFormatPr defaultColWidth="9.140625" defaultRowHeight="15"/>
  <cols>
    <col min="1" max="1" width="6.85546875" style="32" customWidth="1"/>
    <col min="2" max="4" width="20.7109375" style="32" customWidth="1"/>
    <col min="5" max="12" width="20.7109375" style="32" hidden="1" customWidth="1"/>
    <col min="13" max="13" width="20.7109375" style="32" customWidth="1"/>
    <col min="14" max="14" width="20.5703125" style="32" hidden="1" customWidth="1"/>
    <col min="15" max="19" width="20.7109375" style="32" hidden="1" customWidth="1"/>
    <col min="20" max="20" width="18.28515625" style="32" customWidth="1"/>
    <col min="21" max="16384" width="9.140625" style="32"/>
  </cols>
  <sheetData>
    <row r="1" spans="1:20" ht="78" customHeight="1">
      <c r="A1" s="165" t="s">
        <v>187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36" customHeight="1">
      <c r="A2" s="166" t="s">
        <v>188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36" customHeight="1">
      <c r="A3" s="166" t="s">
        <v>199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36" customHeight="1">
      <c r="A4" s="166" t="s">
        <v>223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>
      <c r="A5" s="32" t="s">
        <v>9</v>
      </c>
    </row>
    <row r="7" spans="1:20" ht="18" customHeight="1">
      <c r="A7" s="167" t="s">
        <v>150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84"/>
      <c r="O7" s="84"/>
      <c r="P7" s="84"/>
      <c r="Q7" s="84"/>
      <c r="R7" s="84"/>
      <c r="S7" s="84"/>
    </row>
    <row r="8" spans="1:20" ht="15.75" thickBot="1"/>
    <row r="9" spans="1:20" ht="36.75" customHeight="1" thickBot="1">
      <c r="A9" s="168" t="s">
        <v>202</v>
      </c>
      <c r="B9" s="163" t="s">
        <v>160</v>
      </c>
      <c r="C9" s="164"/>
      <c r="D9" s="160" t="s">
        <v>203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</row>
    <row r="10" spans="1:20" ht="45" customHeight="1" thickBot="1">
      <c r="A10" s="169"/>
      <c r="B10" s="92" t="s">
        <v>204</v>
      </c>
      <c r="C10" s="93" t="s">
        <v>38</v>
      </c>
      <c r="D10" s="87" t="s">
        <v>200</v>
      </c>
      <c r="E10" s="87"/>
      <c r="F10" s="87"/>
      <c r="G10" s="87"/>
      <c r="H10" s="87"/>
      <c r="I10" s="87"/>
      <c r="J10" s="87"/>
      <c r="K10" s="87"/>
      <c r="L10" s="87"/>
      <c r="M10" s="87" t="s">
        <v>201</v>
      </c>
      <c r="N10" s="96"/>
      <c r="O10" s="96"/>
      <c r="P10" s="96"/>
      <c r="Q10" s="96"/>
      <c r="R10" s="96"/>
      <c r="S10" s="96"/>
      <c r="T10" s="91" t="s">
        <v>81</v>
      </c>
    </row>
    <row r="11" spans="1:20" ht="15.75" thickBot="1">
      <c r="A11" s="95">
        <v>1</v>
      </c>
      <c r="B11" s="94">
        <v>2</v>
      </c>
      <c r="C11" s="95">
        <v>3</v>
      </c>
      <c r="D11" s="94">
        <v>4</v>
      </c>
      <c r="E11" s="97"/>
      <c r="F11" s="97"/>
      <c r="G11" s="97"/>
      <c r="H11" s="97"/>
      <c r="I11" s="97"/>
      <c r="J11" s="97"/>
      <c r="K11" s="97"/>
      <c r="L11" s="97"/>
      <c r="M11" s="95">
        <v>5</v>
      </c>
      <c r="N11" s="97"/>
      <c r="O11" s="97"/>
      <c r="P11" s="97"/>
      <c r="Q11" s="97"/>
      <c r="R11" s="97"/>
      <c r="S11" s="97"/>
      <c r="T11" s="94">
        <v>6</v>
      </c>
    </row>
    <row r="12" spans="1:20" ht="15.75" thickBot="1">
      <c r="A12" s="53">
        <v>1</v>
      </c>
      <c r="B12" s="152" t="s">
        <v>161</v>
      </c>
      <c r="C12" s="153"/>
      <c r="D12" s="54">
        <v>1028</v>
      </c>
      <c r="E12" s="54"/>
      <c r="F12" s="54"/>
      <c r="G12" s="54"/>
      <c r="H12" s="54"/>
      <c r="I12" s="54"/>
      <c r="J12" s="54"/>
      <c r="K12" s="54"/>
      <c r="L12" s="54"/>
      <c r="M12" s="54">
        <v>1096</v>
      </c>
      <c r="N12" s="54" t="s">
        <v>205</v>
      </c>
      <c r="O12" s="54" t="s">
        <v>206</v>
      </c>
      <c r="P12" s="54" t="s">
        <v>207</v>
      </c>
      <c r="Q12" s="54" t="s">
        <v>208</v>
      </c>
      <c r="R12" s="54" t="s">
        <v>209</v>
      </c>
      <c r="S12" s="54" t="s">
        <v>210</v>
      </c>
      <c r="T12" s="55"/>
    </row>
    <row r="13" spans="1:20" ht="15.75" thickBot="1">
      <c r="A13" s="157" t="s">
        <v>131</v>
      </c>
      <c r="B13" s="154" t="s">
        <v>5</v>
      </c>
      <c r="C13" s="56">
        <v>1</v>
      </c>
      <c r="D13" s="52">
        <v>1</v>
      </c>
      <c r="E13" s="85"/>
      <c r="F13" s="85"/>
      <c r="G13" s="85"/>
      <c r="H13" s="85"/>
      <c r="I13" s="85"/>
      <c r="J13" s="85"/>
      <c r="K13" s="85"/>
      <c r="L13" s="85"/>
      <c r="M13" s="85">
        <v>1</v>
      </c>
      <c r="N13" s="85"/>
      <c r="O13" s="85"/>
      <c r="P13" s="85"/>
      <c r="Q13" s="85"/>
      <c r="R13" s="85"/>
      <c r="S13" s="85"/>
      <c r="T13" s="71">
        <f>(M13-D13)*100/M13</f>
        <v>0</v>
      </c>
    </row>
    <row r="14" spans="1:20" ht="15.75" thickBot="1">
      <c r="A14" s="158"/>
      <c r="B14" s="155"/>
      <c r="C14" s="56">
        <v>2</v>
      </c>
      <c r="D14" s="52">
        <v>14</v>
      </c>
      <c r="E14" s="85"/>
      <c r="F14" s="85"/>
      <c r="G14" s="85"/>
      <c r="H14" s="85"/>
      <c r="I14" s="85"/>
      <c r="J14" s="85"/>
      <c r="K14" s="85"/>
      <c r="L14" s="85"/>
      <c r="M14" s="85">
        <v>14</v>
      </c>
      <c r="N14" s="85"/>
      <c r="O14" s="85"/>
      <c r="P14" s="85"/>
      <c r="Q14" s="85"/>
      <c r="R14" s="85"/>
      <c r="S14" s="85"/>
      <c r="T14" s="71">
        <f t="shared" ref="T14:T26" si="0">(M14-D14)*100/M14</f>
        <v>0</v>
      </c>
    </row>
    <row r="15" spans="1:20" ht="15.75" thickBot="1">
      <c r="A15" s="159"/>
      <c r="B15" s="156"/>
      <c r="C15" s="56">
        <v>3</v>
      </c>
      <c r="D15" s="52">
        <v>0</v>
      </c>
      <c r="E15" s="85"/>
      <c r="F15" s="85"/>
      <c r="G15" s="85"/>
      <c r="H15" s="85"/>
      <c r="I15" s="85"/>
      <c r="J15" s="85"/>
      <c r="K15" s="85"/>
      <c r="L15" s="85"/>
      <c r="M15" s="85">
        <v>0</v>
      </c>
      <c r="N15" s="85"/>
      <c r="O15" s="85"/>
      <c r="P15" s="85"/>
      <c r="Q15" s="85"/>
      <c r="R15" s="85"/>
      <c r="S15" s="85"/>
      <c r="T15" s="71">
        <v>0</v>
      </c>
    </row>
    <row r="16" spans="1:20" ht="15.75" thickBot="1">
      <c r="A16" s="157" t="s">
        <v>132</v>
      </c>
      <c r="B16" s="154" t="s">
        <v>6</v>
      </c>
      <c r="C16" s="56">
        <v>1</v>
      </c>
      <c r="D16" s="52">
        <v>0</v>
      </c>
      <c r="E16" s="85"/>
      <c r="F16" s="85"/>
      <c r="G16" s="85"/>
      <c r="H16" s="85"/>
      <c r="I16" s="85"/>
      <c r="J16" s="85"/>
      <c r="K16" s="85"/>
      <c r="L16" s="85"/>
      <c r="M16" s="85">
        <v>0</v>
      </c>
      <c r="N16" s="85"/>
      <c r="O16" s="85"/>
      <c r="P16" s="85"/>
      <c r="Q16" s="85"/>
      <c r="R16" s="85"/>
      <c r="S16" s="85"/>
      <c r="T16" s="71">
        <v>0</v>
      </c>
    </row>
    <row r="17" spans="1:20" ht="15.75" thickBot="1">
      <c r="A17" s="158"/>
      <c r="B17" s="155"/>
      <c r="C17" s="56">
        <v>2</v>
      </c>
      <c r="D17" s="52">
        <v>0</v>
      </c>
      <c r="E17" s="85"/>
      <c r="F17" s="85"/>
      <c r="G17" s="85"/>
      <c r="H17" s="85"/>
      <c r="I17" s="85"/>
      <c r="J17" s="85"/>
      <c r="K17" s="85"/>
      <c r="L17" s="85"/>
      <c r="M17" s="85">
        <v>0</v>
      </c>
      <c r="N17" s="85"/>
      <c r="O17" s="85"/>
      <c r="P17" s="85"/>
      <c r="Q17" s="85"/>
      <c r="R17" s="85"/>
      <c r="S17" s="85"/>
      <c r="T17" s="71">
        <v>0</v>
      </c>
    </row>
    <row r="18" spans="1:20" ht="15.75" thickBot="1">
      <c r="A18" s="159"/>
      <c r="B18" s="156"/>
      <c r="C18" s="56">
        <v>3</v>
      </c>
      <c r="D18" s="52">
        <v>1013</v>
      </c>
      <c r="E18" s="85"/>
      <c r="F18" s="85"/>
      <c r="G18" s="85"/>
      <c r="H18" s="85"/>
      <c r="I18" s="85"/>
      <c r="J18" s="85"/>
      <c r="K18" s="85"/>
      <c r="L18" s="85"/>
      <c r="M18" s="85">
        <v>1086</v>
      </c>
      <c r="N18" s="85"/>
      <c r="O18" s="85"/>
      <c r="P18" s="85"/>
      <c r="Q18" s="85"/>
      <c r="R18" s="85"/>
      <c r="S18" s="85"/>
      <c r="T18" s="71">
        <f t="shared" si="0"/>
        <v>6.721915285451197</v>
      </c>
    </row>
    <row r="19" spans="1:20" ht="15.75" thickBot="1">
      <c r="A19" s="57">
        <v>2</v>
      </c>
      <c r="B19" s="152" t="s">
        <v>162</v>
      </c>
      <c r="C19" s="153"/>
      <c r="D19" s="54">
        <v>21548</v>
      </c>
      <c r="E19" s="74"/>
      <c r="F19" s="74"/>
      <c r="G19" s="74"/>
      <c r="H19" s="74"/>
      <c r="I19" s="74"/>
      <c r="J19" s="74"/>
      <c r="K19" s="74"/>
      <c r="L19" s="74"/>
      <c r="M19" s="74">
        <v>21762</v>
      </c>
      <c r="N19" s="74"/>
      <c r="O19" s="74"/>
      <c r="P19" s="74"/>
      <c r="Q19" s="74"/>
      <c r="R19" s="74"/>
      <c r="S19" s="74"/>
      <c r="T19" s="55"/>
    </row>
    <row r="20" spans="1:20" ht="15.75" thickBot="1">
      <c r="A20" s="157" t="s">
        <v>134</v>
      </c>
      <c r="B20" s="154" t="s">
        <v>5</v>
      </c>
      <c r="C20" s="56">
        <v>1</v>
      </c>
      <c r="D20" s="71">
        <v>0</v>
      </c>
      <c r="E20" s="73"/>
      <c r="F20" s="73"/>
      <c r="G20" s="73"/>
      <c r="H20" s="73"/>
      <c r="I20" s="73"/>
      <c r="J20" s="73"/>
      <c r="K20" s="73"/>
      <c r="L20" s="73"/>
      <c r="M20" s="85">
        <v>0</v>
      </c>
      <c r="N20" s="85"/>
      <c r="O20" s="85"/>
      <c r="P20" s="85"/>
      <c r="Q20" s="85"/>
      <c r="R20" s="85"/>
      <c r="S20" s="85"/>
      <c r="T20" s="71">
        <v>0</v>
      </c>
    </row>
    <row r="21" spans="1:20" ht="15.75" thickBot="1">
      <c r="A21" s="158"/>
      <c r="B21" s="155"/>
      <c r="C21" s="56">
        <v>2</v>
      </c>
      <c r="D21" s="71">
        <v>0</v>
      </c>
      <c r="E21" s="73"/>
      <c r="F21" s="73"/>
      <c r="G21" s="73"/>
      <c r="H21" s="73"/>
      <c r="I21" s="73"/>
      <c r="J21" s="73"/>
      <c r="K21" s="73"/>
      <c r="L21" s="73"/>
      <c r="M21" s="85">
        <v>0</v>
      </c>
      <c r="N21" s="85"/>
      <c r="O21" s="85"/>
      <c r="P21" s="85"/>
      <c r="Q21" s="85"/>
      <c r="R21" s="85"/>
      <c r="S21" s="85"/>
      <c r="T21" s="71">
        <v>0</v>
      </c>
    </row>
    <row r="22" spans="1:20" ht="15.75" thickBot="1">
      <c r="A22" s="159"/>
      <c r="B22" s="156"/>
      <c r="C22" s="56">
        <v>3</v>
      </c>
      <c r="D22" s="71">
        <v>0</v>
      </c>
      <c r="E22" s="73"/>
      <c r="F22" s="73"/>
      <c r="G22" s="73"/>
      <c r="H22" s="73"/>
      <c r="I22" s="73"/>
      <c r="J22" s="73"/>
      <c r="K22" s="73"/>
      <c r="L22" s="73"/>
      <c r="M22" s="85">
        <v>0</v>
      </c>
      <c r="N22" s="85"/>
      <c r="O22" s="85"/>
      <c r="P22" s="85"/>
      <c r="Q22" s="85"/>
      <c r="R22" s="85"/>
      <c r="S22" s="85"/>
      <c r="T22" s="71">
        <v>0</v>
      </c>
    </row>
    <row r="23" spans="1:20" ht="15.75" thickBot="1">
      <c r="A23" s="157" t="s">
        <v>135</v>
      </c>
      <c r="B23" s="154" t="s">
        <v>6</v>
      </c>
      <c r="C23" s="56">
        <v>1</v>
      </c>
      <c r="D23" s="71">
        <v>0</v>
      </c>
      <c r="E23" s="73"/>
      <c r="F23" s="73"/>
      <c r="G23" s="73"/>
      <c r="H23" s="73"/>
      <c r="I23" s="73"/>
      <c r="J23" s="73"/>
      <c r="K23" s="73"/>
      <c r="L23" s="73"/>
      <c r="M23" s="85">
        <v>0</v>
      </c>
      <c r="N23" s="85"/>
      <c r="O23" s="85"/>
      <c r="P23" s="85"/>
      <c r="Q23" s="85"/>
      <c r="R23" s="85"/>
      <c r="S23" s="85"/>
      <c r="T23" s="71">
        <v>0</v>
      </c>
    </row>
    <row r="24" spans="1:20" ht="15.75" thickBot="1">
      <c r="A24" s="158"/>
      <c r="B24" s="155"/>
      <c r="C24" s="56">
        <v>2</v>
      </c>
      <c r="D24" s="71">
        <v>0</v>
      </c>
      <c r="E24" s="73"/>
      <c r="F24" s="73"/>
      <c r="G24" s="73"/>
      <c r="H24" s="73"/>
      <c r="I24" s="73"/>
      <c r="J24" s="73"/>
      <c r="K24" s="73"/>
      <c r="L24" s="73"/>
      <c r="M24" s="85">
        <v>0</v>
      </c>
      <c r="N24" s="85"/>
      <c r="O24" s="85"/>
      <c r="P24" s="85"/>
      <c r="Q24" s="85"/>
      <c r="R24" s="85"/>
      <c r="S24" s="85"/>
      <c r="T24" s="71">
        <v>0</v>
      </c>
    </row>
    <row r="25" spans="1:20" ht="15.75" thickBot="1">
      <c r="A25" s="159"/>
      <c r="B25" s="156"/>
      <c r="C25" s="56">
        <v>3</v>
      </c>
      <c r="D25" s="68">
        <v>21548</v>
      </c>
      <c r="E25" s="73"/>
      <c r="F25" s="73"/>
      <c r="G25" s="73"/>
      <c r="H25" s="73"/>
      <c r="I25" s="73"/>
      <c r="J25" s="73"/>
      <c r="K25" s="73"/>
      <c r="L25" s="73"/>
      <c r="M25" s="85">
        <v>21762</v>
      </c>
      <c r="N25" s="85"/>
      <c r="O25" s="85"/>
      <c r="P25" s="85"/>
      <c r="Q25" s="85"/>
      <c r="R25" s="85"/>
      <c r="S25" s="85"/>
      <c r="T25" s="71">
        <f t="shared" si="0"/>
        <v>0.98336549949453178</v>
      </c>
    </row>
    <row r="26" spans="1:20" ht="15.75" thickBot="1">
      <c r="A26" s="58" t="s">
        <v>136</v>
      </c>
      <c r="B26" s="150" t="s">
        <v>163</v>
      </c>
      <c r="C26" s="151"/>
      <c r="D26" s="59">
        <f>D19+D12</f>
        <v>22576</v>
      </c>
      <c r="E26" s="75"/>
      <c r="F26" s="75"/>
      <c r="G26" s="75"/>
      <c r="H26" s="75"/>
      <c r="I26" s="75"/>
      <c r="J26" s="75"/>
      <c r="K26" s="75"/>
      <c r="L26" s="75"/>
      <c r="M26" s="75">
        <f>M19+M12</f>
        <v>22858</v>
      </c>
      <c r="N26" s="75"/>
      <c r="O26" s="75"/>
      <c r="P26" s="75"/>
      <c r="Q26" s="75"/>
      <c r="R26" s="75"/>
      <c r="S26" s="75"/>
      <c r="T26" s="72">
        <f t="shared" si="0"/>
        <v>1.2337037361098959</v>
      </c>
    </row>
    <row r="27" spans="1:20">
      <c r="B27" s="60" t="s">
        <v>151</v>
      </c>
    </row>
    <row r="28" spans="1:20">
      <c r="A28" s="149" t="s">
        <v>175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84"/>
      <c r="O28" s="84"/>
      <c r="P28" s="84"/>
      <c r="Q28" s="84"/>
      <c r="R28" s="84"/>
      <c r="S28" s="84"/>
    </row>
    <row r="29" spans="1:20">
      <c r="B29" s="60"/>
    </row>
    <row r="30" spans="1:20" s="51" customForma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20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51"/>
      <c r="O31" s="51"/>
      <c r="P31" s="51"/>
      <c r="Q31" s="51"/>
      <c r="R31" s="51"/>
      <c r="S31" s="51"/>
    </row>
    <row r="32" spans="1:20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</sheetData>
  <mergeCells count="20">
    <mergeCell ref="A1:T1"/>
    <mergeCell ref="A2:T2"/>
    <mergeCell ref="A7:M7"/>
    <mergeCell ref="A4:T4"/>
    <mergeCell ref="A9:A10"/>
    <mergeCell ref="A3:T3"/>
    <mergeCell ref="A16:A18"/>
    <mergeCell ref="B16:B18"/>
    <mergeCell ref="D9:T9"/>
    <mergeCell ref="B12:C12"/>
    <mergeCell ref="A13:A15"/>
    <mergeCell ref="B9:C9"/>
    <mergeCell ref="B13:B15"/>
    <mergeCell ref="A28:M28"/>
    <mergeCell ref="B26:C26"/>
    <mergeCell ref="B19:C19"/>
    <mergeCell ref="B20:B22"/>
    <mergeCell ref="B23:B25"/>
    <mergeCell ref="A23:A25"/>
    <mergeCell ref="A20:A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5"/>
  <sheetViews>
    <sheetView zoomScaleNormal="100" zoomScaleSheetLayoutView="110" workbookViewId="0">
      <selection activeCell="B8" sqref="B8"/>
    </sheetView>
  </sheetViews>
  <sheetFormatPr defaultColWidth="9.140625" defaultRowHeight="15"/>
  <cols>
    <col min="1" max="16384" width="9.140625" style="2"/>
  </cols>
  <sheetData>
    <row r="2" spans="1:1" ht="15.75">
      <c r="A2" s="63" t="s">
        <v>179</v>
      </c>
    </row>
    <row r="4" spans="1:1">
      <c r="A4" s="2" t="s">
        <v>276</v>
      </c>
    </row>
    <row r="5" spans="1:1">
      <c r="A5" s="2" t="s">
        <v>277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7"/>
  <sheetViews>
    <sheetView zoomScale="70" zoomScaleNormal="70" zoomScaleSheetLayoutView="85" workbookViewId="0">
      <pane ySplit="4" topLeftCell="A5" activePane="bottomLeft" state="frozen"/>
      <selection pane="bottomLeft" sqref="A1:R17"/>
    </sheetView>
  </sheetViews>
  <sheetFormatPr defaultColWidth="9.140625" defaultRowHeight="15"/>
  <cols>
    <col min="1" max="1" width="9.140625" style="2"/>
    <col min="2" max="2" width="27.28515625" style="2" customWidth="1"/>
    <col min="3" max="4" width="9.140625" style="2"/>
    <col min="5" max="5" width="10" style="2" customWidth="1"/>
    <col min="6" max="7" width="9.140625" style="2"/>
    <col min="8" max="8" width="10.4257812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18" ht="43.5" customHeight="1">
      <c r="A1" s="186" t="s">
        <v>180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5" customHeight="1">
      <c r="A2" s="176" t="s">
        <v>0</v>
      </c>
      <c r="B2" s="176" t="s">
        <v>1</v>
      </c>
      <c r="C2" s="176" t="s">
        <v>19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 t="s">
        <v>20</v>
      </c>
    </row>
    <row r="3" spans="1:18" ht="15" customHeight="1">
      <c r="A3" s="176"/>
      <c r="B3" s="176"/>
      <c r="C3" s="176" t="s">
        <v>21</v>
      </c>
      <c r="D3" s="176"/>
      <c r="E3" s="176"/>
      <c r="F3" s="176" t="s">
        <v>22</v>
      </c>
      <c r="G3" s="176"/>
      <c r="H3" s="176"/>
      <c r="I3" s="176" t="s">
        <v>23</v>
      </c>
      <c r="J3" s="176"/>
      <c r="K3" s="176"/>
      <c r="L3" s="176" t="s">
        <v>24</v>
      </c>
      <c r="M3" s="176"/>
      <c r="N3" s="176"/>
      <c r="O3" s="176" t="s">
        <v>25</v>
      </c>
      <c r="P3" s="176"/>
      <c r="Q3" s="176"/>
      <c r="R3" s="176"/>
    </row>
    <row r="4" spans="1:18" ht="75">
      <c r="A4" s="176"/>
      <c r="B4" s="176"/>
      <c r="C4" s="106">
        <v>2015</v>
      </c>
      <c r="D4" s="106">
        <v>2016</v>
      </c>
      <c r="E4" s="106" t="s">
        <v>26</v>
      </c>
      <c r="F4" s="106">
        <v>2015</v>
      </c>
      <c r="G4" s="106">
        <v>2016</v>
      </c>
      <c r="H4" s="106" t="s">
        <v>26</v>
      </c>
      <c r="I4" s="106">
        <v>2015</v>
      </c>
      <c r="J4" s="106">
        <v>2016</v>
      </c>
      <c r="K4" s="106" t="s">
        <v>26</v>
      </c>
      <c r="L4" s="106">
        <v>2015</v>
      </c>
      <c r="M4" s="106">
        <v>2016</v>
      </c>
      <c r="N4" s="106" t="s">
        <v>26</v>
      </c>
      <c r="O4" s="106">
        <v>2015</v>
      </c>
      <c r="P4" s="106">
        <v>2016</v>
      </c>
      <c r="Q4" s="106" t="s">
        <v>26</v>
      </c>
      <c r="R4" s="8"/>
    </row>
    <row r="5" spans="1:18" ht="15.75" customHeight="1">
      <c r="A5" s="106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  <c r="J5" s="106">
        <v>10</v>
      </c>
      <c r="K5" s="106">
        <v>11</v>
      </c>
      <c r="L5" s="106">
        <v>12</v>
      </c>
      <c r="M5" s="106">
        <v>13</v>
      </c>
      <c r="N5" s="106">
        <v>14</v>
      </c>
      <c r="O5" s="106">
        <v>15</v>
      </c>
      <c r="P5" s="106">
        <v>16</v>
      </c>
      <c r="Q5" s="106">
        <v>17</v>
      </c>
      <c r="R5" s="106">
        <v>18</v>
      </c>
    </row>
    <row r="6" spans="1:18" ht="60">
      <c r="A6" s="6">
        <v>1</v>
      </c>
      <c r="B6" s="5" t="s">
        <v>27</v>
      </c>
      <c r="C6" s="106">
        <v>501</v>
      </c>
      <c r="D6" s="106">
        <v>911</v>
      </c>
      <c r="E6" s="6">
        <v>0</v>
      </c>
      <c r="F6" s="106">
        <v>11</v>
      </c>
      <c r="G6" s="107">
        <v>30</v>
      </c>
      <c r="H6" s="6">
        <v>0</v>
      </c>
      <c r="I6" s="106">
        <v>0</v>
      </c>
      <c r="J6" s="106">
        <v>6</v>
      </c>
      <c r="K6" s="106">
        <v>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0</v>
      </c>
    </row>
    <row r="7" spans="1:18" ht="123.75" customHeight="1">
      <c r="A7" s="6">
        <v>2</v>
      </c>
      <c r="B7" s="8" t="s">
        <v>28</v>
      </c>
      <c r="C7" s="106">
        <v>501</v>
      </c>
      <c r="D7" s="106">
        <v>911</v>
      </c>
      <c r="E7" s="6">
        <v>0</v>
      </c>
      <c r="F7" s="106">
        <v>11</v>
      </c>
      <c r="G7" s="106">
        <v>30</v>
      </c>
      <c r="H7" s="6">
        <v>0</v>
      </c>
      <c r="I7" s="106">
        <v>0</v>
      </c>
      <c r="J7" s="106">
        <v>6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</row>
    <row r="8" spans="1:18" ht="210">
      <c r="A8" s="6">
        <v>3</v>
      </c>
      <c r="B8" s="8" t="s">
        <v>29</v>
      </c>
      <c r="C8" s="106">
        <v>0</v>
      </c>
      <c r="D8" s="106">
        <v>0</v>
      </c>
      <c r="E8" s="6">
        <v>0</v>
      </c>
      <c r="F8" s="106">
        <v>0</v>
      </c>
      <c r="G8" s="106">
        <v>0</v>
      </c>
      <c r="H8" s="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</row>
    <row r="9" spans="1:18">
      <c r="A9" s="6">
        <v>4</v>
      </c>
      <c r="B9" s="8" t="s">
        <v>30</v>
      </c>
      <c r="C9" s="106">
        <v>0</v>
      </c>
      <c r="D9" s="106">
        <v>0</v>
      </c>
      <c r="E9" s="6">
        <v>0</v>
      </c>
      <c r="F9" s="106">
        <v>0</v>
      </c>
      <c r="G9" s="106">
        <v>0</v>
      </c>
      <c r="H9" s="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</row>
    <row r="10" spans="1:18">
      <c r="A10" s="6">
        <v>5</v>
      </c>
      <c r="B10" s="8" t="s">
        <v>31</v>
      </c>
      <c r="C10" s="106">
        <v>0</v>
      </c>
      <c r="D10" s="106">
        <v>0</v>
      </c>
      <c r="E10" s="6">
        <v>0</v>
      </c>
      <c r="F10" s="106">
        <v>0</v>
      </c>
      <c r="G10" s="106">
        <v>0</v>
      </c>
      <c r="H10" s="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</row>
    <row r="11" spans="1:18" ht="105" customHeight="1">
      <c r="A11" s="6">
        <v>6</v>
      </c>
      <c r="B11" s="8" t="s">
        <v>32</v>
      </c>
      <c r="C11" s="106">
        <v>10</v>
      </c>
      <c r="D11" s="106">
        <v>10</v>
      </c>
      <c r="E11" s="6">
        <v>0</v>
      </c>
      <c r="F11" s="106">
        <v>10</v>
      </c>
      <c r="G11" s="106">
        <v>10</v>
      </c>
      <c r="H11" s="6">
        <v>0</v>
      </c>
      <c r="I11" s="106">
        <v>10</v>
      </c>
      <c r="J11" s="106">
        <v>10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</row>
    <row r="12" spans="1:18" ht="76.5" customHeight="1">
      <c r="A12" s="6">
        <v>7</v>
      </c>
      <c r="B12" s="8" t="s">
        <v>33</v>
      </c>
      <c r="C12" s="106">
        <v>493</v>
      </c>
      <c r="D12" s="106">
        <v>883</v>
      </c>
      <c r="E12" s="6">
        <v>0</v>
      </c>
      <c r="F12" s="106">
        <v>9</v>
      </c>
      <c r="G12" s="106">
        <v>19</v>
      </c>
      <c r="H12" s="6">
        <v>0</v>
      </c>
      <c r="I12" s="106">
        <v>4</v>
      </c>
      <c r="J12" s="106">
        <v>5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</row>
    <row r="13" spans="1:18" ht="76.5" customHeight="1">
      <c r="A13" s="6">
        <v>8</v>
      </c>
      <c r="B13" s="8" t="s">
        <v>34</v>
      </c>
      <c r="C13" s="106">
        <v>319</v>
      </c>
      <c r="D13" s="106">
        <v>698</v>
      </c>
      <c r="E13" s="6">
        <v>0</v>
      </c>
      <c r="F13" s="106">
        <v>4</v>
      </c>
      <c r="G13" s="106">
        <v>18</v>
      </c>
      <c r="H13" s="6">
        <v>0</v>
      </c>
      <c r="I13" s="106">
        <v>2</v>
      </c>
      <c r="J13" s="106">
        <v>2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</row>
    <row r="14" spans="1:18" ht="168.75" customHeight="1">
      <c r="A14" s="6">
        <v>9</v>
      </c>
      <c r="B14" s="8" t="s">
        <v>35</v>
      </c>
      <c r="C14" s="106">
        <v>0</v>
      </c>
      <c r="D14" s="106">
        <v>0</v>
      </c>
      <c r="E14" s="6">
        <v>0</v>
      </c>
      <c r="F14" s="106">
        <v>0</v>
      </c>
      <c r="G14" s="106">
        <v>0</v>
      </c>
      <c r="H14" s="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</row>
    <row r="15" spans="1:18">
      <c r="A15" s="6">
        <v>10</v>
      </c>
      <c r="B15" s="8" t="s">
        <v>30</v>
      </c>
      <c r="C15" s="106">
        <v>0</v>
      </c>
      <c r="D15" s="106">
        <v>0</v>
      </c>
      <c r="E15" s="6">
        <v>0</v>
      </c>
      <c r="F15" s="106">
        <v>0</v>
      </c>
      <c r="G15" s="106">
        <v>0</v>
      </c>
      <c r="H15" s="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</row>
    <row r="16" spans="1:18" ht="15.75" customHeight="1">
      <c r="A16" s="6">
        <v>11</v>
      </c>
      <c r="B16" s="8" t="s">
        <v>36</v>
      </c>
      <c r="C16" s="106">
        <v>0</v>
      </c>
      <c r="D16" s="106">
        <v>0</v>
      </c>
      <c r="E16" s="6">
        <v>0</v>
      </c>
      <c r="F16" s="106">
        <v>0</v>
      </c>
      <c r="G16" s="106">
        <v>0</v>
      </c>
      <c r="H16" s="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</row>
    <row r="17" spans="1:18" ht="93" customHeight="1">
      <c r="A17" s="6">
        <v>12</v>
      </c>
      <c r="B17" s="8" t="s">
        <v>37</v>
      </c>
      <c r="C17" s="106">
        <v>34.18</v>
      </c>
      <c r="D17" s="106">
        <v>62.35</v>
      </c>
      <c r="E17" s="6">
        <v>0</v>
      </c>
      <c r="F17" s="106">
        <v>54.75</v>
      </c>
      <c r="G17" s="106">
        <v>54.8</v>
      </c>
      <c r="H17" s="6">
        <f>(G17*100/F17)-100</f>
        <v>9.1324200913248887E-2</v>
      </c>
      <c r="I17" s="106">
        <v>351</v>
      </c>
      <c r="J17" s="106">
        <v>95</v>
      </c>
      <c r="K17" s="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/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zoomScaleNormal="100" zoomScaleSheetLayoutView="100" workbookViewId="0">
      <selection activeCell="H5" sqref="H5"/>
    </sheetView>
  </sheetViews>
  <sheetFormatPr defaultColWidth="9.140625" defaultRowHeight="15"/>
  <cols>
    <col min="1" max="1" width="18.28515625" style="143" customWidth="1"/>
    <col min="2" max="2" width="16.28515625" style="143" customWidth="1"/>
    <col min="3" max="3" width="9.140625" style="143"/>
    <col min="4" max="4" width="12.7109375" style="143" customWidth="1"/>
    <col min="5" max="5" width="9.28515625" style="143" customWidth="1"/>
    <col min="6" max="6" width="12.7109375" style="143" customWidth="1"/>
    <col min="7" max="7" width="13" style="143" customWidth="1"/>
    <col min="8" max="8" width="15" style="143" customWidth="1"/>
    <col min="9" max="9" width="14" style="143" customWidth="1"/>
    <col min="10" max="10" width="12.28515625" style="143" customWidth="1"/>
    <col min="11" max="11" width="13" style="143" customWidth="1"/>
    <col min="12" max="16384" width="9.140625" style="143"/>
  </cols>
  <sheetData>
    <row r="1" spans="1:11" ht="64.5" customHeight="1">
      <c r="A1" s="187" t="s">
        <v>317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" customHeight="1">
      <c r="A2" s="188" t="s">
        <v>319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32.25" customHeight="1">
      <c r="A3" s="189" t="s">
        <v>318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5" customHeight="1">
      <c r="A4" s="144"/>
      <c r="B4" s="144"/>
      <c r="C4" s="144"/>
      <c r="D4" s="145"/>
      <c r="E4" s="145"/>
      <c r="F4" s="145"/>
      <c r="G4" s="145"/>
      <c r="H4" s="145"/>
      <c r="I4" s="145"/>
      <c r="J4" s="145"/>
      <c r="K4" s="145"/>
    </row>
    <row r="5" spans="1:11" s="146" customFormat="1" ht="76.5" customHeight="1">
      <c r="A5" s="96"/>
      <c r="B5" s="96"/>
      <c r="C5" s="96"/>
    </row>
    <row r="6" spans="1:11" ht="23.25" customHeight="1">
      <c r="C6" s="147"/>
      <c r="D6" s="146"/>
      <c r="E6" s="96"/>
      <c r="F6" s="146"/>
      <c r="G6" s="146"/>
      <c r="H6" s="148"/>
      <c r="I6" s="148"/>
      <c r="J6" s="146"/>
      <c r="K6" s="146"/>
    </row>
    <row r="7" spans="1:11">
      <c r="C7" s="147"/>
      <c r="D7" s="146"/>
      <c r="E7" s="96"/>
      <c r="F7" s="146"/>
      <c r="G7" s="146"/>
      <c r="H7" s="148"/>
      <c r="I7" s="148"/>
      <c r="J7" s="146"/>
      <c r="K7" s="146"/>
    </row>
    <row r="8" spans="1:11">
      <c r="C8" s="147"/>
      <c r="D8" s="146"/>
      <c r="E8" s="96"/>
      <c r="F8" s="146"/>
      <c r="G8" s="146"/>
      <c r="H8" s="146"/>
      <c r="I8" s="146"/>
      <c r="J8" s="146"/>
      <c r="K8" s="146"/>
    </row>
    <row r="9" spans="1:11">
      <c r="C9" s="147"/>
      <c r="D9" s="148"/>
      <c r="E9" s="96"/>
      <c r="F9" s="148"/>
      <c r="G9" s="148"/>
      <c r="H9" s="148"/>
      <c r="I9" s="148"/>
      <c r="J9" s="148"/>
      <c r="K9" s="148"/>
    </row>
    <row r="10" spans="1:11">
      <c r="C10" s="147"/>
      <c r="D10" s="146"/>
      <c r="E10" s="148"/>
      <c r="F10" s="146"/>
      <c r="G10" s="146"/>
      <c r="H10" s="148"/>
      <c r="I10" s="148"/>
      <c r="J10" s="146"/>
      <c r="K10" s="146"/>
    </row>
    <row r="11" spans="1:11">
      <c r="C11" s="147"/>
      <c r="D11" s="146"/>
      <c r="E11" s="148"/>
      <c r="F11" s="146"/>
      <c r="G11" s="146"/>
      <c r="H11" s="148"/>
      <c r="I11" s="148"/>
      <c r="J11" s="146"/>
      <c r="K11" s="146"/>
    </row>
    <row r="12" spans="1:11">
      <c r="C12" s="147"/>
      <c r="D12" s="146"/>
      <c r="E12" s="148"/>
      <c r="F12" s="146"/>
      <c r="G12" s="146"/>
      <c r="H12" s="146"/>
      <c r="I12" s="146"/>
      <c r="J12" s="146"/>
      <c r="K12" s="146"/>
    </row>
    <row r="13" spans="1:11">
      <c r="C13" s="147"/>
      <c r="D13" s="148"/>
      <c r="E13" s="148"/>
      <c r="F13" s="148"/>
      <c r="G13" s="148"/>
      <c r="H13" s="148"/>
      <c r="I13" s="148"/>
      <c r="J13" s="148"/>
      <c r="K13" s="148"/>
    </row>
    <row r="14" spans="1:11">
      <c r="C14" s="147"/>
      <c r="D14" s="146"/>
      <c r="E14" s="148"/>
      <c r="F14" s="146"/>
      <c r="G14" s="146"/>
      <c r="H14" s="148"/>
      <c r="I14" s="148"/>
      <c r="J14" s="146"/>
      <c r="K14" s="146"/>
    </row>
    <row r="15" spans="1:11">
      <c r="C15" s="147"/>
      <c r="D15" s="146"/>
      <c r="E15" s="148"/>
      <c r="F15" s="146"/>
      <c r="G15" s="146"/>
      <c r="H15" s="148"/>
      <c r="I15" s="148"/>
      <c r="J15" s="146"/>
      <c r="K15" s="146"/>
    </row>
    <row r="16" spans="1:11">
      <c r="C16" s="147"/>
      <c r="D16" s="146"/>
      <c r="E16" s="148"/>
      <c r="F16" s="146"/>
      <c r="G16" s="146"/>
      <c r="H16" s="146"/>
      <c r="I16" s="146"/>
      <c r="J16" s="146"/>
      <c r="K16" s="146"/>
    </row>
    <row r="17" spans="1:11">
      <c r="C17" s="147"/>
      <c r="D17" s="148"/>
      <c r="E17" s="148"/>
      <c r="F17" s="148"/>
      <c r="G17" s="148"/>
      <c r="H17" s="148"/>
      <c r="I17" s="148"/>
      <c r="J17" s="148"/>
      <c r="K17" s="148"/>
    </row>
    <row r="18" spans="1:11">
      <c r="C18" s="147"/>
      <c r="D18" s="146"/>
      <c r="E18" s="148"/>
      <c r="F18" s="146"/>
      <c r="G18" s="146"/>
      <c r="H18" s="148"/>
      <c r="I18" s="148"/>
      <c r="J18" s="146"/>
      <c r="K18" s="146"/>
    </row>
    <row r="19" spans="1:11">
      <c r="C19" s="147"/>
      <c r="D19" s="146"/>
      <c r="E19" s="148"/>
      <c r="F19" s="146"/>
      <c r="G19" s="146"/>
      <c r="H19" s="148"/>
      <c r="I19" s="148"/>
      <c r="J19" s="146"/>
      <c r="K19" s="146"/>
    </row>
    <row r="20" spans="1:11">
      <c r="C20" s="147"/>
      <c r="D20" s="146"/>
      <c r="E20" s="148"/>
      <c r="F20" s="146"/>
      <c r="G20" s="146"/>
      <c r="H20" s="146"/>
      <c r="I20" s="146"/>
      <c r="J20" s="146"/>
      <c r="K20" s="146"/>
    </row>
    <row r="21" spans="1:11">
      <c r="C21" s="147"/>
      <c r="D21" s="148"/>
      <c r="E21" s="148"/>
      <c r="F21" s="148"/>
      <c r="G21" s="148"/>
      <c r="H21" s="148"/>
      <c r="I21" s="148"/>
      <c r="J21" s="148"/>
      <c r="K21" s="148"/>
    </row>
    <row r="22" spans="1:11" ht="35.2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</sheetData>
  <mergeCells count="3">
    <mergeCell ref="A1:K1"/>
    <mergeCell ref="A2:K2"/>
    <mergeCell ref="A3:K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topLeftCell="A22" zoomScaleNormal="100" workbookViewId="0">
      <selection activeCell="F11" sqref="F11:G11"/>
    </sheetView>
  </sheetViews>
  <sheetFormatPr defaultColWidth="9.140625" defaultRowHeight="15"/>
  <cols>
    <col min="1" max="1" width="9.140625" style="32"/>
    <col min="2" max="2" width="24.85546875" style="32" customWidth="1"/>
    <col min="3" max="3" width="9.140625" style="32"/>
    <col min="4" max="4" width="9.42578125" style="32" customWidth="1"/>
    <col min="5" max="5" width="11" style="32" customWidth="1"/>
    <col min="6" max="6" width="9.140625" style="32"/>
    <col min="7" max="7" width="9.85546875" style="32" customWidth="1"/>
    <col min="8" max="8" width="11.42578125" style="32" customWidth="1"/>
    <col min="9" max="9" width="9.140625" style="32"/>
    <col min="10" max="10" width="10.28515625" style="32" customWidth="1"/>
    <col min="11" max="11" width="11.42578125" style="32" customWidth="1"/>
    <col min="12" max="12" width="9.140625" style="32"/>
    <col min="13" max="13" width="10.140625" style="32" customWidth="1"/>
    <col min="14" max="14" width="11.28515625" style="32" customWidth="1"/>
    <col min="15" max="15" width="9.140625" style="32"/>
    <col min="16" max="16" width="10" style="32" customWidth="1"/>
    <col min="17" max="17" width="11" style="32" customWidth="1"/>
    <col min="18" max="16384" width="9.140625" style="32"/>
  </cols>
  <sheetData>
    <row r="1" spans="1:17" ht="15.75">
      <c r="A1" s="191" t="s">
        <v>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>
      <c r="A2" s="33"/>
    </row>
    <row r="3" spans="1:17" ht="63.75" customHeight="1">
      <c r="A3" s="190" t="s">
        <v>40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5" spans="1:17" ht="32.25" customHeight="1">
      <c r="A5" s="192" t="s">
        <v>0</v>
      </c>
      <c r="B5" s="192" t="s">
        <v>86</v>
      </c>
      <c r="C5" s="192" t="s">
        <v>41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45" customHeight="1">
      <c r="A6" s="192"/>
      <c r="B6" s="192"/>
      <c r="C6" s="192" t="s">
        <v>42</v>
      </c>
      <c r="D6" s="192"/>
      <c r="E6" s="192"/>
      <c r="F6" s="192" t="s">
        <v>43</v>
      </c>
      <c r="G6" s="192"/>
      <c r="H6" s="192"/>
      <c r="I6" s="192" t="s">
        <v>44</v>
      </c>
      <c r="J6" s="192"/>
      <c r="K6" s="192"/>
      <c r="L6" s="192" t="s">
        <v>45</v>
      </c>
      <c r="M6" s="192"/>
      <c r="N6" s="192"/>
      <c r="O6" s="192" t="s">
        <v>46</v>
      </c>
      <c r="P6" s="192"/>
      <c r="Q6" s="192"/>
    </row>
    <row r="7" spans="1:17" ht="60">
      <c r="A7" s="34"/>
      <c r="B7" s="34"/>
      <c r="C7" s="77">
        <v>2015</v>
      </c>
      <c r="D7" s="77">
        <v>2016</v>
      </c>
      <c r="E7" s="77" t="s">
        <v>26</v>
      </c>
      <c r="F7" s="77">
        <v>2015</v>
      </c>
      <c r="G7" s="77">
        <v>2016</v>
      </c>
      <c r="H7" s="77" t="s">
        <v>26</v>
      </c>
      <c r="I7" s="77">
        <v>2015</v>
      </c>
      <c r="J7" s="77">
        <v>2016</v>
      </c>
      <c r="K7" s="77" t="s">
        <v>26</v>
      </c>
      <c r="L7" s="77">
        <v>2015</v>
      </c>
      <c r="M7" s="77">
        <v>2016</v>
      </c>
      <c r="N7" s="77" t="s">
        <v>26</v>
      </c>
      <c r="O7" s="77">
        <v>2015</v>
      </c>
      <c r="P7" s="77">
        <v>2016</v>
      </c>
      <c r="Q7" s="77" t="s">
        <v>26</v>
      </c>
    </row>
    <row r="8" spans="1:17">
      <c r="A8" s="21">
        <v>1</v>
      </c>
      <c r="B8" s="21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8">
        <v>13</v>
      </c>
      <c r="N8" s="78">
        <v>14</v>
      </c>
      <c r="O8" s="78">
        <v>15</v>
      </c>
      <c r="P8" s="78">
        <v>16</v>
      </c>
      <c r="Q8" s="78">
        <v>17</v>
      </c>
    </row>
    <row r="9" spans="1:17" ht="45">
      <c r="A9" s="46">
        <v>1</v>
      </c>
      <c r="B9" s="47" t="s">
        <v>173</v>
      </c>
      <c r="C9" s="69">
        <f>C25+C16</f>
        <v>0</v>
      </c>
      <c r="D9" s="69">
        <f t="shared" ref="D9:Q9" si="0">D25+D16</f>
        <v>0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0</v>
      </c>
      <c r="N9" s="69">
        <f t="shared" si="0"/>
        <v>0</v>
      </c>
      <c r="O9" s="69">
        <f t="shared" si="0"/>
        <v>0</v>
      </c>
      <c r="P9" s="69">
        <f t="shared" si="0"/>
        <v>0</v>
      </c>
      <c r="Q9" s="69">
        <f t="shared" si="0"/>
        <v>0</v>
      </c>
    </row>
    <row r="10" spans="1:17" s="37" customFormat="1" ht="46.5" customHeight="1">
      <c r="A10" s="35" t="s">
        <v>152</v>
      </c>
      <c r="B10" s="36" t="s">
        <v>87</v>
      </c>
      <c r="C10" s="70">
        <f>C17+C27</f>
        <v>0</v>
      </c>
      <c r="D10" s="70">
        <f t="shared" ref="D10:P11" si="1">D17+D27</f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>Q17+Q27</f>
        <v>0</v>
      </c>
    </row>
    <row r="11" spans="1:17" ht="46.5" customHeight="1">
      <c r="A11" s="38" t="s">
        <v>153</v>
      </c>
      <c r="B11" s="39" t="s">
        <v>47</v>
      </c>
      <c r="C11" s="70">
        <f>C18+C28</f>
        <v>0</v>
      </c>
      <c r="D11" s="70">
        <f t="shared" si="1"/>
        <v>0</v>
      </c>
      <c r="E11" s="70">
        <f t="shared" si="1"/>
        <v>0</v>
      </c>
      <c r="F11" s="70">
        <v>501</v>
      </c>
      <c r="G11" s="70">
        <v>911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0</v>
      </c>
      <c r="Q11" s="70">
        <f>Q18+Q28</f>
        <v>0</v>
      </c>
    </row>
    <row r="12" spans="1:17" s="37" customFormat="1" ht="32.25" customHeight="1">
      <c r="A12" s="35" t="s">
        <v>154</v>
      </c>
      <c r="B12" s="36" t="s">
        <v>48</v>
      </c>
      <c r="C12" s="70">
        <f>C21+C28</f>
        <v>0</v>
      </c>
      <c r="D12" s="70">
        <f t="shared" ref="D12:Q12" si="2">D21+D28</f>
        <v>0</v>
      </c>
      <c r="E12" s="70">
        <f t="shared" si="2"/>
        <v>0</v>
      </c>
      <c r="F12" s="70">
        <f t="shared" si="2"/>
        <v>0</v>
      </c>
      <c r="G12" s="70">
        <f t="shared" si="2"/>
        <v>0</v>
      </c>
      <c r="H12" s="70">
        <f t="shared" si="2"/>
        <v>0</v>
      </c>
      <c r="I12" s="70">
        <f t="shared" si="2"/>
        <v>0</v>
      </c>
      <c r="J12" s="70">
        <f t="shared" si="2"/>
        <v>0</v>
      </c>
      <c r="K12" s="70">
        <f t="shared" si="2"/>
        <v>0</v>
      </c>
      <c r="L12" s="70">
        <f t="shared" si="2"/>
        <v>0</v>
      </c>
      <c r="M12" s="70">
        <f t="shared" si="2"/>
        <v>0</v>
      </c>
      <c r="N12" s="70">
        <f t="shared" si="2"/>
        <v>0</v>
      </c>
      <c r="O12" s="70">
        <f t="shared" si="2"/>
        <v>0</v>
      </c>
      <c r="P12" s="70">
        <f t="shared" si="2"/>
        <v>0</v>
      </c>
      <c r="Q12" s="70">
        <f t="shared" si="2"/>
        <v>0</v>
      </c>
    </row>
    <row r="13" spans="1:17" s="37" customFormat="1" ht="22.5" customHeight="1">
      <c r="A13" s="35" t="s">
        <v>88</v>
      </c>
      <c r="B13" s="36" t="s">
        <v>49</v>
      </c>
      <c r="C13" s="70">
        <f t="shared" ref="C13:Q14" si="3">C22+C29</f>
        <v>0</v>
      </c>
      <c r="D13" s="70">
        <f t="shared" si="3"/>
        <v>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0">
        <f t="shared" si="3"/>
        <v>0</v>
      </c>
      <c r="O13" s="70">
        <f t="shared" si="3"/>
        <v>0</v>
      </c>
      <c r="P13" s="70">
        <f t="shared" si="3"/>
        <v>0</v>
      </c>
      <c r="Q13" s="70">
        <f t="shared" si="3"/>
        <v>0</v>
      </c>
    </row>
    <row r="14" spans="1:17" s="37" customFormat="1" ht="57" customHeight="1">
      <c r="A14" s="35" t="s">
        <v>89</v>
      </c>
      <c r="B14" s="36" t="s">
        <v>50</v>
      </c>
      <c r="C14" s="70">
        <f t="shared" si="3"/>
        <v>0</v>
      </c>
      <c r="D14" s="70">
        <f t="shared" si="3"/>
        <v>0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0</v>
      </c>
    </row>
    <row r="15" spans="1:17" s="37" customFormat="1" ht="21" customHeight="1">
      <c r="A15" s="35" t="s">
        <v>90</v>
      </c>
      <c r="B15" s="36" t="s">
        <v>51</v>
      </c>
      <c r="C15" s="70">
        <f>C24+C29</f>
        <v>0</v>
      </c>
      <c r="D15" s="70">
        <f t="shared" ref="D15:Q15" si="4">D24+D29</f>
        <v>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4"/>
        <v>0</v>
      </c>
      <c r="O15" s="70">
        <f t="shared" si="4"/>
        <v>0</v>
      </c>
      <c r="P15" s="70">
        <f t="shared" si="4"/>
        <v>0</v>
      </c>
      <c r="Q15" s="70">
        <f t="shared" si="4"/>
        <v>0</v>
      </c>
    </row>
    <row r="16" spans="1:17">
      <c r="A16" s="49" t="s">
        <v>155</v>
      </c>
      <c r="B16" s="50" t="s">
        <v>52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8"/>
      <c r="O16" s="46"/>
      <c r="P16" s="46"/>
      <c r="Q16" s="46"/>
    </row>
    <row r="17" spans="1:17" s="37" customFormat="1" ht="51" customHeight="1">
      <c r="A17" s="35" t="s">
        <v>156</v>
      </c>
      <c r="B17" s="36" t="s">
        <v>53</v>
      </c>
      <c r="C17" s="70">
        <f>C26+C33</f>
        <v>0</v>
      </c>
      <c r="D17" s="70">
        <f t="shared" ref="D17:Q17" si="5">D26+D33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5"/>
        <v>0</v>
      </c>
      <c r="O17" s="70">
        <f t="shared" si="5"/>
        <v>0</v>
      </c>
      <c r="P17" s="70">
        <f t="shared" si="5"/>
        <v>0</v>
      </c>
      <c r="Q17" s="70">
        <f t="shared" si="5"/>
        <v>0</v>
      </c>
    </row>
    <row r="18" spans="1:17" s="37" customFormat="1" ht="50.25" customHeight="1">
      <c r="A18" s="35" t="s">
        <v>157</v>
      </c>
      <c r="B18" s="36" t="s">
        <v>54</v>
      </c>
      <c r="C18" s="70">
        <f t="shared" ref="C18:Q24" si="6">C27+C34</f>
        <v>0</v>
      </c>
      <c r="D18" s="70">
        <f t="shared" si="6"/>
        <v>0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6"/>
        <v>0</v>
      </c>
      <c r="O18" s="70">
        <f t="shared" si="6"/>
        <v>0</v>
      </c>
      <c r="P18" s="70">
        <f t="shared" si="6"/>
        <v>0</v>
      </c>
      <c r="Q18" s="70">
        <f t="shared" si="6"/>
        <v>0</v>
      </c>
    </row>
    <row r="19" spans="1:17" s="37" customFormat="1" ht="31.5" customHeight="1">
      <c r="A19" s="40" t="s">
        <v>158</v>
      </c>
      <c r="B19" s="36" t="s">
        <v>55</v>
      </c>
      <c r="C19" s="70">
        <f t="shared" si="6"/>
        <v>0</v>
      </c>
      <c r="D19" s="70">
        <f t="shared" si="6"/>
        <v>0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70">
        <f t="shared" si="6"/>
        <v>0</v>
      </c>
      <c r="P19" s="70">
        <f t="shared" si="6"/>
        <v>0</v>
      </c>
      <c r="Q19" s="70">
        <f t="shared" si="6"/>
        <v>0</v>
      </c>
    </row>
    <row r="20" spans="1:17" s="37" customFormat="1" ht="46.5" customHeight="1">
      <c r="A20" s="35" t="s">
        <v>91</v>
      </c>
      <c r="B20" s="36" t="s">
        <v>47</v>
      </c>
      <c r="C20" s="70">
        <f t="shared" si="6"/>
        <v>0</v>
      </c>
      <c r="D20" s="70">
        <f t="shared" si="6"/>
        <v>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6"/>
        <v>0</v>
      </c>
      <c r="O20" s="70">
        <f t="shared" si="6"/>
        <v>0</v>
      </c>
      <c r="P20" s="70">
        <f t="shared" si="6"/>
        <v>0</v>
      </c>
      <c r="Q20" s="70">
        <f t="shared" si="6"/>
        <v>0</v>
      </c>
    </row>
    <row r="21" spans="1:17" s="37" customFormat="1" ht="31.5" customHeight="1">
      <c r="A21" s="35" t="s">
        <v>92</v>
      </c>
      <c r="B21" s="41" t="s">
        <v>48</v>
      </c>
      <c r="C21" s="70">
        <f t="shared" si="6"/>
        <v>0</v>
      </c>
      <c r="D21" s="70">
        <f t="shared" si="6"/>
        <v>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6"/>
        <v>0</v>
      </c>
      <c r="O21" s="70">
        <f t="shared" si="6"/>
        <v>0</v>
      </c>
      <c r="P21" s="70">
        <f t="shared" si="6"/>
        <v>0</v>
      </c>
      <c r="Q21" s="70">
        <f t="shared" si="6"/>
        <v>0</v>
      </c>
    </row>
    <row r="22" spans="1:17" s="37" customFormat="1" ht="18.75" customHeight="1">
      <c r="A22" s="35" t="s">
        <v>93</v>
      </c>
      <c r="B22" s="36" t="s">
        <v>49</v>
      </c>
      <c r="C22" s="70">
        <f t="shared" si="6"/>
        <v>0</v>
      </c>
      <c r="D22" s="70">
        <f t="shared" si="6"/>
        <v>0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6"/>
        <v>0</v>
      </c>
      <c r="O22" s="70">
        <f t="shared" si="6"/>
        <v>0</v>
      </c>
      <c r="P22" s="70">
        <f t="shared" si="6"/>
        <v>0</v>
      </c>
      <c r="Q22" s="70">
        <f t="shared" si="6"/>
        <v>0</v>
      </c>
    </row>
    <row r="23" spans="1:17" s="37" customFormat="1" ht="65.25" customHeight="1">
      <c r="A23" s="35" t="s">
        <v>94</v>
      </c>
      <c r="B23" s="36" t="s">
        <v>56</v>
      </c>
      <c r="C23" s="70">
        <f t="shared" si="6"/>
        <v>0</v>
      </c>
      <c r="D23" s="70">
        <f t="shared" si="6"/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</row>
    <row r="24" spans="1:17" s="37" customFormat="1" ht="18.75" customHeight="1">
      <c r="A24" s="35" t="s">
        <v>95</v>
      </c>
      <c r="B24" s="36" t="s">
        <v>51</v>
      </c>
      <c r="C24" s="70">
        <f t="shared" si="6"/>
        <v>0</v>
      </c>
      <c r="D24" s="70">
        <f t="shared" si="6"/>
        <v>0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8.75" customHeight="1">
      <c r="A25" s="46">
        <v>3</v>
      </c>
      <c r="B25" s="47" t="s">
        <v>57</v>
      </c>
      <c r="C25" s="69">
        <f>C26+C27+C28+C29</f>
        <v>0</v>
      </c>
      <c r="D25" s="69">
        <f t="shared" ref="D25:Q25" si="7">D26+D27+D28+D29</f>
        <v>0</v>
      </c>
      <c r="E25" s="69">
        <f t="shared" si="7"/>
        <v>0</v>
      </c>
      <c r="F25" s="69">
        <f t="shared" si="7"/>
        <v>0</v>
      </c>
      <c r="G25" s="69">
        <f t="shared" si="7"/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9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</row>
    <row r="26" spans="1:17" ht="35.25" customHeight="1">
      <c r="A26" s="38" t="s">
        <v>96</v>
      </c>
      <c r="B26" s="39" t="s">
        <v>18</v>
      </c>
      <c r="C26" s="70">
        <f>C33+C43</f>
        <v>0</v>
      </c>
      <c r="D26" s="70">
        <f t="shared" ref="D26:P26" si="8">D33+D43</f>
        <v>0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8"/>
        <v>0</v>
      </c>
      <c r="O26" s="70">
        <f t="shared" si="8"/>
        <v>0</v>
      </c>
      <c r="P26" s="70">
        <f t="shared" si="8"/>
        <v>0</v>
      </c>
      <c r="Q26" s="70">
        <f>Q33+Q43</f>
        <v>0</v>
      </c>
    </row>
    <row r="27" spans="1:17" s="37" customFormat="1" ht="62.25" customHeight="1">
      <c r="A27" s="35" t="s">
        <v>97</v>
      </c>
      <c r="B27" s="36" t="s">
        <v>58</v>
      </c>
      <c r="C27" s="70">
        <f t="shared" ref="C27:Q29" si="9">C34+C44</f>
        <v>0</v>
      </c>
      <c r="D27" s="70">
        <f t="shared" si="9"/>
        <v>0</v>
      </c>
      <c r="E27" s="70">
        <f t="shared" si="9"/>
        <v>0</v>
      </c>
      <c r="F27" s="70">
        <f t="shared" si="9"/>
        <v>0</v>
      </c>
      <c r="G27" s="70">
        <f t="shared" si="9"/>
        <v>0</v>
      </c>
      <c r="H27" s="70">
        <f t="shared" si="9"/>
        <v>0</v>
      </c>
      <c r="I27" s="70">
        <f t="shared" si="9"/>
        <v>0</v>
      </c>
      <c r="J27" s="70">
        <f t="shared" si="9"/>
        <v>0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0">
        <f t="shared" si="9"/>
        <v>0</v>
      </c>
      <c r="O27" s="70">
        <f t="shared" si="9"/>
        <v>0</v>
      </c>
      <c r="P27" s="70">
        <f t="shared" si="9"/>
        <v>0</v>
      </c>
      <c r="Q27" s="70">
        <f t="shared" si="9"/>
        <v>0</v>
      </c>
    </row>
    <row r="28" spans="1:17" s="37" customFormat="1" ht="47.25" customHeight="1">
      <c r="A28" s="35" t="s">
        <v>98</v>
      </c>
      <c r="B28" s="36" t="s">
        <v>59</v>
      </c>
      <c r="C28" s="70">
        <f t="shared" si="9"/>
        <v>0</v>
      </c>
      <c r="D28" s="70">
        <f t="shared" si="9"/>
        <v>0</v>
      </c>
      <c r="E28" s="70">
        <f t="shared" si="9"/>
        <v>0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0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9"/>
        <v>0</v>
      </c>
      <c r="O28" s="70">
        <f t="shared" si="9"/>
        <v>0</v>
      </c>
      <c r="P28" s="70">
        <f t="shared" si="9"/>
        <v>0</v>
      </c>
      <c r="Q28" s="70">
        <f t="shared" si="9"/>
        <v>0</v>
      </c>
    </row>
    <row r="29" spans="1:17" s="37" customFormat="1">
      <c r="A29" s="35" t="s">
        <v>99</v>
      </c>
      <c r="B29" s="36" t="s">
        <v>51</v>
      </c>
      <c r="C29" s="70">
        <f t="shared" si="9"/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9"/>
        <v>0</v>
      </c>
      <c r="N29" s="70">
        <f t="shared" si="9"/>
        <v>0</v>
      </c>
      <c r="O29" s="70">
        <f t="shared" si="9"/>
        <v>0</v>
      </c>
      <c r="P29" s="70">
        <f t="shared" si="9"/>
        <v>0</v>
      </c>
      <c r="Q29" s="70">
        <f t="shared" si="9"/>
        <v>0</v>
      </c>
    </row>
  </sheetData>
  <mergeCells count="10">
    <mergeCell ref="A3:Q3"/>
    <mergeCell ref="A1:Q1"/>
    <mergeCell ref="A5:A6"/>
    <mergeCell ref="B5:B6"/>
    <mergeCell ref="C5:Q5"/>
    <mergeCell ref="C6:E6"/>
    <mergeCell ref="F6:H6"/>
    <mergeCell ref="I6:K6"/>
    <mergeCell ref="L6:N6"/>
    <mergeCell ref="O6:Q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22"/>
  <sheetViews>
    <sheetView view="pageBreakPreview" topLeftCell="A13" zoomScaleNormal="100" zoomScaleSheetLayoutView="100" workbookViewId="0">
      <selection activeCell="F35" sqref="F35"/>
    </sheetView>
  </sheetViews>
  <sheetFormatPr defaultColWidth="9.140625" defaultRowHeight="15"/>
  <cols>
    <col min="1" max="1" width="9.140625" style="2"/>
    <col min="2" max="2" width="27.42578125" style="2" customWidth="1"/>
    <col min="3" max="3" width="9.140625" style="2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10" width="9.140625" style="2"/>
    <col min="11" max="11" width="13.140625" style="2" customWidth="1"/>
    <col min="12" max="16384" width="9.140625" style="2"/>
  </cols>
  <sheetData>
    <row r="2" spans="1:11" s="63" customFormat="1" ht="15.75">
      <c r="A2" s="178" t="s">
        <v>181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>
      <c r="A3" s="18"/>
    </row>
    <row r="4" spans="1:11" ht="180">
      <c r="A4" s="106" t="s">
        <v>0</v>
      </c>
      <c r="B4" s="106" t="s">
        <v>60</v>
      </c>
      <c r="C4" s="106" t="s">
        <v>61</v>
      </c>
      <c r="D4" s="106" t="s">
        <v>62</v>
      </c>
      <c r="E4" s="106" t="s">
        <v>63</v>
      </c>
      <c r="F4" s="106" t="s">
        <v>64</v>
      </c>
      <c r="G4" s="106" t="s">
        <v>65</v>
      </c>
      <c r="H4" s="106" t="s">
        <v>66</v>
      </c>
      <c r="I4" s="106" t="s">
        <v>67</v>
      </c>
      <c r="J4" s="106" t="s">
        <v>68</v>
      </c>
      <c r="K4" s="106" t="s">
        <v>69</v>
      </c>
    </row>
    <row r="5" spans="1:11">
      <c r="A5" s="106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  <c r="J5" s="106">
        <v>10</v>
      </c>
      <c r="K5" s="106">
        <v>11</v>
      </c>
    </row>
    <row r="6" spans="1:11" ht="83.25" customHeight="1">
      <c r="A6" s="107">
        <v>1</v>
      </c>
      <c r="B6" s="107" t="s">
        <v>278</v>
      </c>
      <c r="C6" s="107" t="s">
        <v>279</v>
      </c>
      <c r="D6" s="107" t="s">
        <v>280</v>
      </c>
      <c r="E6" s="107" t="s">
        <v>281</v>
      </c>
      <c r="F6" s="83" t="s">
        <v>282</v>
      </c>
      <c r="G6" s="19" t="s">
        <v>283</v>
      </c>
      <c r="H6" s="107">
        <v>51</v>
      </c>
      <c r="I6" s="107">
        <v>10</v>
      </c>
      <c r="J6" s="107" t="s">
        <v>191</v>
      </c>
      <c r="K6" s="19"/>
    </row>
    <row r="7" spans="1:11" ht="33" customHeight="1">
      <c r="A7" s="107">
        <v>2</v>
      </c>
      <c r="B7" s="107" t="s">
        <v>284</v>
      </c>
      <c r="C7" s="107" t="s">
        <v>279</v>
      </c>
      <c r="D7" s="107" t="s">
        <v>285</v>
      </c>
      <c r="E7" s="107" t="s">
        <v>286</v>
      </c>
      <c r="F7" s="83" t="s">
        <v>282</v>
      </c>
      <c r="G7" s="19" t="s">
        <v>283</v>
      </c>
      <c r="H7" s="107">
        <v>40</v>
      </c>
      <c r="I7" s="107">
        <v>10</v>
      </c>
      <c r="J7" s="8"/>
      <c r="K7" s="8"/>
    </row>
    <row r="8" spans="1:11" ht="33" customHeight="1">
      <c r="A8" s="107">
        <v>3</v>
      </c>
      <c r="B8" s="107" t="s">
        <v>287</v>
      </c>
      <c r="C8" s="107" t="s">
        <v>279</v>
      </c>
      <c r="D8" s="107" t="s">
        <v>288</v>
      </c>
      <c r="E8" s="107" t="s">
        <v>289</v>
      </c>
      <c r="F8" s="83" t="s">
        <v>282</v>
      </c>
      <c r="G8" s="19" t="s">
        <v>283</v>
      </c>
      <c r="H8" s="107">
        <v>52</v>
      </c>
      <c r="I8" s="107">
        <v>10</v>
      </c>
      <c r="J8" s="8"/>
      <c r="K8" s="8"/>
    </row>
    <row r="9" spans="1:11" ht="50.25" customHeight="1">
      <c r="A9" s="107">
        <v>4</v>
      </c>
      <c r="B9" s="107" t="s">
        <v>290</v>
      </c>
      <c r="C9" s="107" t="s">
        <v>279</v>
      </c>
      <c r="D9" s="107" t="s">
        <v>291</v>
      </c>
      <c r="E9" s="107" t="s">
        <v>292</v>
      </c>
      <c r="F9" s="83" t="s">
        <v>282</v>
      </c>
      <c r="G9" s="19" t="s">
        <v>283</v>
      </c>
      <c r="H9" s="107">
        <v>102</v>
      </c>
      <c r="I9" s="107">
        <v>10</v>
      </c>
      <c r="J9" s="8"/>
      <c r="K9" s="8"/>
    </row>
    <row r="10" spans="1:11" ht="30" customHeight="1">
      <c r="A10" s="107">
        <v>5</v>
      </c>
      <c r="B10" s="107" t="s">
        <v>293</v>
      </c>
      <c r="C10" s="107" t="s">
        <v>279</v>
      </c>
      <c r="D10" s="107" t="s">
        <v>294</v>
      </c>
      <c r="E10" s="107" t="s">
        <v>295</v>
      </c>
      <c r="F10" s="83" t="s">
        <v>282</v>
      </c>
      <c r="G10" s="19" t="s">
        <v>283</v>
      </c>
      <c r="H10" s="107">
        <v>101</v>
      </c>
      <c r="I10" s="107">
        <v>10</v>
      </c>
      <c r="J10" s="8"/>
      <c r="K10" s="8"/>
    </row>
    <row r="11" spans="1:11" ht="30" customHeight="1">
      <c r="A11" s="138">
        <v>6</v>
      </c>
      <c r="B11" s="138" t="s">
        <v>296</v>
      </c>
      <c r="C11" s="138" t="s">
        <v>279</v>
      </c>
      <c r="D11" s="138" t="s">
        <v>297</v>
      </c>
      <c r="E11" s="138" t="s">
        <v>298</v>
      </c>
      <c r="F11" s="139" t="s">
        <v>282</v>
      </c>
      <c r="G11" s="140" t="s">
        <v>283</v>
      </c>
      <c r="H11" s="138">
        <v>0</v>
      </c>
      <c r="I11" s="138">
        <v>10</v>
      </c>
      <c r="J11" s="141"/>
      <c r="K11" s="141"/>
    </row>
    <row r="12" spans="1:11" ht="45">
      <c r="A12" s="107">
        <v>7</v>
      </c>
      <c r="B12" s="67" t="s">
        <v>299</v>
      </c>
      <c r="C12" s="107" t="s">
        <v>279</v>
      </c>
      <c r="D12" s="107" t="s">
        <v>300</v>
      </c>
      <c r="E12" s="67" t="s">
        <v>301</v>
      </c>
      <c r="F12" s="83" t="s">
        <v>282</v>
      </c>
      <c r="G12" s="19" t="s">
        <v>283</v>
      </c>
      <c r="H12" s="67">
        <v>122</v>
      </c>
      <c r="I12" s="107">
        <v>10</v>
      </c>
      <c r="J12" s="82"/>
      <c r="K12" s="82"/>
    </row>
    <row r="13" spans="1:11" ht="45">
      <c r="A13" s="107">
        <v>8</v>
      </c>
      <c r="B13" s="67" t="s">
        <v>302</v>
      </c>
      <c r="C13" s="107" t="s">
        <v>279</v>
      </c>
      <c r="D13" s="107" t="s">
        <v>303</v>
      </c>
      <c r="E13" s="67" t="s">
        <v>304</v>
      </c>
      <c r="F13" s="83" t="s">
        <v>282</v>
      </c>
      <c r="G13" s="19" t="s">
        <v>283</v>
      </c>
      <c r="H13" s="67">
        <v>94</v>
      </c>
      <c r="I13" s="107">
        <v>10</v>
      </c>
      <c r="J13" s="82"/>
      <c r="K13" s="82"/>
    </row>
    <row r="14" spans="1:11" ht="45">
      <c r="A14" s="138">
        <v>9</v>
      </c>
      <c r="B14" s="67" t="s">
        <v>305</v>
      </c>
      <c r="C14" s="107" t="s">
        <v>279</v>
      </c>
      <c r="D14" s="107" t="s">
        <v>306</v>
      </c>
      <c r="E14" s="67" t="s">
        <v>307</v>
      </c>
      <c r="F14" s="83" t="s">
        <v>282</v>
      </c>
      <c r="G14" s="19" t="s">
        <v>283</v>
      </c>
      <c r="H14" s="67">
        <v>79</v>
      </c>
      <c r="I14" s="107">
        <v>10</v>
      </c>
      <c r="J14" s="82"/>
      <c r="K14" s="82"/>
    </row>
    <row r="15" spans="1:11" ht="45">
      <c r="A15" s="107">
        <v>10</v>
      </c>
      <c r="B15" s="67" t="s">
        <v>308</v>
      </c>
      <c r="C15" s="107" t="s">
        <v>279</v>
      </c>
      <c r="D15" s="107" t="s">
        <v>309</v>
      </c>
      <c r="E15" s="67" t="s">
        <v>310</v>
      </c>
      <c r="F15" s="83" t="s">
        <v>282</v>
      </c>
      <c r="G15" s="19" t="s">
        <v>283</v>
      </c>
      <c r="H15" s="67">
        <v>131</v>
      </c>
      <c r="I15" s="107">
        <v>10</v>
      </c>
      <c r="J15" s="82"/>
      <c r="K15" s="82"/>
    </row>
    <row r="16" spans="1:11" ht="45">
      <c r="A16" s="138">
        <v>11</v>
      </c>
      <c r="B16" s="67" t="s">
        <v>311</v>
      </c>
      <c r="C16" s="107" t="s">
        <v>279</v>
      </c>
      <c r="D16" s="107" t="s">
        <v>312</v>
      </c>
      <c r="E16" s="67" t="s">
        <v>313</v>
      </c>
      <c r="F16" s="83" t="s">
        <v>282</v>
      </c>
      <c r="G16" s="19" t="s">
        <v>283</v>
      </c>
      <c r="H16" s="67">
        <v>98</v>
      </c>
      <c r="I16" s="107">
        <v>10</v>
      </c>
      <c r="J16" s="82"/>
      <c r="K16" s="82"/>
    </row>
    <row r="17" spans="1:11" ht="45">
      <c r="A17" s="107">
        <v>12</v>
      </c>
      <c r="B17" s="142" t="s">
        <v>314</v>
      </c>
      <c r="C17" s="107" t="s">
        <v>279</v>
      </c>
      <c r="D17" s="107" t="s">
        <v>315</v>
      </c>
      <c r="E17" s="67" t="s">
        <v>316</v>
      </c>
      <c r="F17" s="83" t="s">
        <v>282</v>
      </c>
      <c r="G17" s="19" t="s">
        <v>283</v>
      </c>
      <c r="H17" s="67">
        <v>75</v>
      </c>
      <c r="I17" s="107">
        <v>10</v>
      </c>
      <c r="J17" s="82"/>
      <c r="K17" s="82"/>
    </row>
    <row r="18" spans="1:11">
      <c r="F18" s="26"/>
    </row>
    <row r="19" spans="1:11">
      <c r="F19" s="26"/>
    </row>
    <row r="20" spans="1:11">
      <c r="F20" s="26"/>
    </row>
    <row r="21" spans="1:11">
      <c r="F21" s="26"/>
    </row>
    <row r="22" spans="1:11">
      <c r="F22" s="26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1"/>
  <sheetViews>
    <sheetView view="pageBreakPreview" zoomScaleNormal="100" zoomScaleSheetLayoutView="100" workbookViewId="0">
      <selection activeCell="D11" sqref="D11"/>
    </sheetView>
  </sheetViews>
  <sheetFormatPr defaultColWidth="9.140625" defaultRowHeight="1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>
      <c r="A1" s="193" t="s">
        <v>182</v>
      </c>
      <c r="B1" s="193"/>
      <c r="C1" s="193"/>
      <c r="D1" s="193"/>
      <c r="E1" s="9"/>
    </row>
    <row r="3" spans="1:5">
      <c r="A3" s="3" t="s">
        <v>0</v>
      </c>
      <c r="B3" s="3" t="s">
        <v>70</v>
      </c>
      <c r="C3" s="3" t="s">
        <v>71</v>
      </c>
      <c r="D3" s="8"/>
    </row>
    <row r="4" spans="1:5" ht="75">
      <c r="A4" s="176">
        <v>1</v>
      </c>
      <c r="B4" s="8" t="s">
        <v>72</v>
      </c>
      <c r="C4" s="181" t="s">
        <v>168</v>
      </c>
      <c r="D4" s="181" t="s">
        <v>192</v>
      </c>
    </row>
    <row r="5" spans="1:5" ht="45">
      <c r="A5" s="176"/>
      <c r="B5" s="5" t="s">
        <v>73</v>
      </c>
      <c r="C5" s="181"/>
      <c r="D5" s="181"/>
    </row>
    <row r="6" spans="1:5" ht="45">
      <c r="A6" s="176"/>
      <c r="B6" s="5" t="s">
        <v>74</v>
      </c>
      <c r="C6" s="181"/>
      <c r="D6" s="181"/>
    </row>
    <row r="7" spans="1:5" ht="75">
      <c r="A7" s="3">
        <v>2</v>
      </c>
      <c r="B7" s="8" t="s">
        <v>75</v>
      </c>
      <c r="C7" s="3" t="s">
        <v>76</v>
      </c>
      <c r="D7" s="81">
        <v>0</v>
      </c>
    </row>
    <row r="8" spans="1:5" ht="90">
      <c r="A8" s="25" t="s">
        <v>156</v>
      </c>
      <c r="B8" s="8" t="s">
        <v>77</v>
      </c>
      <c r="C8" s="3" t="s">
        <v>76</v>
      </c>
      <c r="D8" s="81">
        <v>0</v>
      </c>
    </row>
    <row r="9" spans="1:5" ht="120">
      <c r="A9" s="25" t="s">
        <v>157</v>
      </c>
      <c r="B9" s="8" t="s">
        <v>78</v>
      </c>
      <c r="C9" s="3" t="s">
        <v>76</v>
      </c>
      <c r="D9" s="81">
        <v>0</v>
      </c>
    </row>
    <row r="10" spans="1:5" ht="105">
      <c r="A10" s="3">
        <v>3</v>
      </c>
      <c r="B10" s="8" t="s">
        <v>79</v>
      </c>
      <c r="C10" s="3" t="s">
        <v>174</v>
      </c>
      <c r="D10" s="81">
        <v>0</v>
      </c>
    </row>
    <row r="11" spans="1:5" ht="105">
      <c r="A11" s="3">
        <v>4</v>
      </c>
      <c r="B11" s="8" t="s">
        <v>80</v>
      </c>
      <c r="C11" s="3" t="s">
        <v>174</v>
      </c>
      <c r="D11" s="81">
        <v>0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2"/>
  <sheetViews>
    <sheetView view="pageBreakPreview" zoomScaleNormal="100" zoomScaleSheetLayoutView="100" workbookViewId="0">
      <selection activeCell="A13" sqref="A13"/>
    </sheetView>
  </sheetViews>
  <sheetFormatPr defaultColWidth="9.140625" defaultRowHeight="15"/>
  <cols>
    <col min="1" max="1" width="169.42578125" style="2" customWidth="1"/>
    <col min="2" max="16384" width="9.140625" style="2"/>
  </cols>
  <sheetData>
    <row r="1" spans="1:1" ht="33" customHeight="1">
      <c r="A1" s="64" t="s">
        <v>183</v>
      </c>
    </row>
    <row r="2" spans="1:1">
      <c r="A2" s="23" t="s">
        <v>193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2"/>
  <sheetViews>
    <sheetView view="pageBreakPreview" zoomScaleNormal="100" zoomScaleSheetLayoutView="100" workbookViewId="0"/>
  </sheetViews>
  <sheetFormatPr defaultColWidth="9.140625" defaultRowHeight="1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>
      <c r="A1" s="63" t="s">
        <v>184</v>
      </c>
    </row>
    <row r="2" spans="1:1">
      <c r="A2" s="23" t="s">
        <v>194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"/>
  <sheetViews>
    <sheetView view="pageBreakPreview" zoomScaleNormal="100" zoomScaleSheetLayoutView="100" workbookViewId="0">
      <selection activeCell="A3" sqref="A3"/>
    </sheetView>
  </sheetViews>
  <sheetFormatPr defaultColWidth="9.140625" defaultRowHeight="15"/>
  <cols>
    <col min="1" max="16384" width="9.140625" style="2"/>
  </cols>
  <sheetData>
    <row r="1" spans="1:21" ht="187.5" customHeight="1">
      <c r="A1" s="194" t="s">
        <v>185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>
      <c r="A2" s="23" t="s">
        <v>264</v>
      </c>
    </row>
  </sheetData>
  <mergeCells count="1">
    <mergeCell ref="A1:U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4"/>
  <sheetViews>
    <sheetView view="pageBreakPreview" zoomScaleNormal="100" zoomScaleSheetLayoutView="100" workbookViewId="0">
      <selection activeCell="B10" sqref="B10"/>
    </sheetView>
  </sheetViews>
  <sheetFormatPr defaultColWidth="9.140625" defaultRowHeight="15"/>
  <cols>
    <col min="1" max="1" width="183" style="2" customWidth="1"/>
    <col min="2" max="16384" width="9.140625" style="2"/>
  </cols>
  <sheetData>
    <row r="1" spans="1:1" ht="31.5" customHeight="1">
      <c r="A1" s="66" t="s">
        <v>186</v>
      </c>
    </row>
    <row r="2" spans="1:1">
      <c r="A2" s="2" t="s">
        <v>196</v>
      </c>
    </row>
    <row r="3" spans="1:1">
      <c r="A3" s="2" t="s">
        <v>197</v>
      </c>
    </row>
    <row r="4" spans="1:1">
      <c r="A4" s="2" t="s">
        <v>198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P18"/>
  <sheetViews>
    <sheetView zoomScale="85" zoomScaleNormal="85" workbookViewId="0">
      <selection activeCell="AP24" sqref="AP24"/>
    </sheetView>
  </sheetViews>
  <sheetFormatPr defaultColWidth="9.140625" defaultRowHeight="15"/>
  <cols>
    <col min="1" max="1" width="6.85546875" style="32" customWidth="1"/>
    <col min="2" max="2" width="20.7109375" style="32" customWidth="1"/>
    <col min="3" max="3" width="7" style="32" hidden="1" customWidth="1"/>
    <col min="4" max="6" width="5.140625" style="32" hidden="1" customWidth="1"/>
    <col min="7" max="7" width="7.42578125" style="32" hidden="1" customWidth="1"/>
    <col min="8" max="8" width="5.42578125" style="32" hidden="1" customWidth="1"/>
    <col min="9" max="9" width="7.42578125" style="32" hidden="1" customWidth="1"/>
    <col min="10" max="10" width="5.42578125" style="32" hidden="1" customWidth="1"/>
    <col min="11" max="11" width="7.42578125" style="32" hidden="1" customWidth="1"/>
    <col min="12" max="12" width="5.42578125" style="32" hidden="1" customWidth="1"/>
    <col min="13" max="13" width="7" style="32" hidden="1" customWidth="1"/>
    <col min="14" max="14" width="5" style="32" hidden="1" customWidth="1"/>
    <col min="15" max="15" width="7" style="32" hidden="1" customWidth="1"/>
    <col min="16" max="16" width="7.140625" style="32" hidden="1" customWidth="1"/>
    <col min="17" max="17" width="7" style="32" hidden="1" customWidth="1"/>
    <col min="18" max="18" width="5.140625" style="32" hidden="1" customWidth="1"/>
    <col min="19" max="19" width="7" style="32" hidden="1" customWidth="1"/>
    <col min="20" max="20" width="5.140625" style="32" hidden="1" customWidth="1"/>
    <col min="21" max="22" width="7.28515625" style="32" hidden="1" customWidth="1"/>
    <col min="23" max="23" width="7" style="32" hidden="1" customWidth="1"/>
    <col min="24" max="24" width="5.140625" style="32" hidden="1" customWidth="1"/>
    <col min="25" max="26" width="14.28515625" style="32" hidden="1" customWidth="1"/>
    <col min="27" max="28" width="20.7109375" style="32" customWidth="1"/>
    <col min="29" max="35" width="20.7109375" style="32" hidden="1" customWidth="1"/>
    <col min="36" max="36" width="20.5703125" style="32" hidden="1" customWidth="1"/>
    <col min="37" max="41" width="20.7109375" style="32" hidden="1" customWidth="1"/>
    <col min="42" max="42" width="19.5703125" style="32" customWidth="1"/>
    <col min="43" max="16384" width="9.140625" style="32"/>
  </cols>
  <sheetData>
    <row r="1" spans="1:42" ht="78" customHeight="1">
      <c r="A1" s="165" t="s">
        <v>187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</row>
    <row r="2" spans="1:42" ht="36" customHeight="1">
      <c r="A2" s="166" t="s">
        <v>224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</row>
    <row r="3" spans="1:42" ht="36" customHeight="1">
      <c r="A3" s="166" t="s">
        <v>222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</row>
    <row r="4" spans="1:42" ht="36" customHeight="1">
      <c r="A4" s="166" t="s">
        <v>223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</row>
    <row r="5" spans="1:42" ht="34.5" customHeight="1">
      <c r="A5" s="173" t="s">
        <v>225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</row>
    <row r="8" spans="1:42" ht="36.75" customHeight="1">
      <c r="A8" s="172" t="s">
        <v>202</v>
      </c>
      <c r="B8" s="105" t="s">
        <v>212</v>
      </c>
      <c r="C8" s="170" t="s">
        <v>267</v>
      </c>
      <c r="D8" s="171"/>
      <c r="E8" s="170" t="s">
        <v>205</v>
      </c>
      <c r="F8" s="171"/>
      <c r="G8" s="170" t="s">
        <v>268</v>
      </c>
      <c r="H8" s="171"/>
      <c r="I8" s="170" t="s">
        <v>206</v>
      </c>
      <c r="J8" s="171"/>
      <c r="K8" s="170" t="s">
        <v>269</v>
      </c>
      <c r="L8" s="171"/>
      <c r="M8" s="170" t="s">
        <v>270</v>
      </c>
      <c r="N8" s="171"/>
      <c r="O8" s="170" t="s">
        <v>271</v>
      </c>
      <c r="P8" s="171"/>
      <c r="Q8" s="170" t="s">
        <v>208</v>
      </c>
      <c r="R8" s="171"/>
      <c r="S8" s="170" t="s">
        <v>272</v>
      </c>
      <c r="T8" s="171"/>
      <c r="U8" s="170" t="s">
        <v>273</v>
      </c>
      <c r="V8" s="171"/>
      <c r="W8" s="170" t="s">
        <v>274</v>
      </c>
      <c r="X8" s="171"/>
      <c r="Y8" s="170" t="s">
        <v>275</v>
      </c>
      <c r="Z8" s="171"/>
      <c r="AA8" s="172" t="s">
        <v>211</v>
      </c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</row>
    <row r="9" spans="1:42" ht="45" customHeight="1">
      <c r="A9" s="172"/>
      <c r="B9" s="99" t="s">
        <v>221</v>
      </c>
      <c r="C9" s="90" t="s">
        <v>200</v>
      </c>
      <c r="D9" s="90">
        <v>2016</v>
      </c>
      <c r="E9" s="90" t="s">
        <v>200</v>
      </c>
      <c r="F9" s="90">
        <v>2016</v>
      </c>
      <c r="G9" s="90" t="s">
        <v>200</v>
      </c>
      <c r="H9" s="90">
        <v>2016</v>
      </c>
      <c r="I9" s="90" t="s">
        <v>200</v>
      </c>
      <c r="J9" s="90">
        <v>2016</v>
      </c>
      <c r="K9" s="90" t="s">
        <v>200</v>
      </c>
      <c r="L9" s="90">
        <v>2016</v>
      </c>
      <c r="M9" s="90" t="s">
        <v>200</v>
      </c>
      <c r="N9" s="90">
        <v>2016</v>
      </c>
      <c r="O9" s="90" t="s">
        <v>200</v>
      </c>
      <c r="P9" s="90">
        <v>2016</v>
      </c>
      <c r="Q9" s="90" t="s">
        <v>200</v>
      </c>
      <c r="R9" s="90">
        <v>2016</v>
      </c>
      <c r="S9" s="90" t="s">
        <v>200</v>
      </c>
      <c r="T9" s="90">
        <v>2016</v>
      </c>
      <c r="U9" s="90" t="s">
        <v>200</v>
      </c>
      <c r="V9" s="90">
        <v>2016</v>
      </c>
      <c r="W9" s="90" t="s">
        <v>200</v>
      </c>
      <c r="X9" s="90">
        <v>2016</v>
      </c>
      <c r="Y9" s="90" t="s">
        <v>200</v>
      </c>
      <c r="Z9" s="90">
        <v>2016</v>
      </c>
      <c r="AA9" s="87" t="s">
        <v>200</v>
      </c>
      <c r="AB9" s="90" t="s">
        <v>201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100" t="s">
        <v>81</v>
      </c>
    </row>
    <row r="10" spans="1:42">
      <c r="A10" s="101" t="s">
        <v>130</v>
      </c>
      <c r="B10" s="102" t="s">
        <v>162</v>
      </c>
      <c r="C10" s="135">
        <v>3126</v>
      </c>
      <c r="D10" s="135">
        <v>3061</v>
      </c>
      <c r="E10" s="135">
        <v>251</v>
      </c>
      <c r="F10" s="135">
        <v>236</v>
      </c>
      <c r="G10" s="136">
        <v>2892</v>
      </c>
      <c r="H10" s="136">
        <v>2855</v>
      </c>
      <c r="I10" s="136">
        <v>2591</v>
      </c>
      <c r="J10" s="136">
        <v>2607</v>
      </c>
      <c r="K10" s="136">
        <v>3005</v>
      </c>
      <c r="L10" s="136">
        <v>3045</v>
      </c>
      <c r="M10" s="136">
        <v>39</v>
      </c>
      <c r="N10" s="136">
        <v>44</v>
      </c>
      <c r="O10" s="136">
        <v>44</v>
      </c>
      <c r="P10" s="136">
        <v>366</v>
      </c>
      <c r="Q10" s="136">
        <v>2614</v>
      </c>
      <c r="R10" s="136">
        <v>2595</v>
      </c>
      <c r="S10" s="136">
        <v>121</v>
      </c>
      <c r="T10" s="136">
        <v>187</v>
      </c>
      <c r="U10" s="136">
        <v>3545</v>
      </c>
      <c r="V10" s="136">
        <v>2732</v>
      </c>
      <c r="W10" s="136">
        <v>1738</v>
      </c>
      <c r="X10" s="136">
        <v>2058</v>
      </c>
      <c r="Y10" s="136">
        <f>1570-259</f>
        <v>1311</v>
      </c>
      <c r="Z10" s="136">
        <v>1526</v>
      </c>
      <c r="AA10" s="89">
        <v>21277</v>
      </c>
      <c r="AB10" s="89">
        <v>21586</v>
      </c>
      <c r="AC10" s="103"/>
      <c r="AD10" s="103"/>
      <c r="AE10" s="103"/>
      <c r="AF10" s="103"/>
      <c r="AG10" s="103"/>
      <c r="AH10" s="103"/>
      <c r="AI10" s="103"/>
      <c r="AJ10" s="103" t="s">
        <v>205</v>
      </c>
      <c r="AK10" s="103" t="s">
        <v>206</v>
      </c>
      <c r="AL10" s="103" t="s">
        <v>207</v>
      </c>
      <c r="AM10" s="103" t="s">
        <v>208</v>
      </c>
      <c r="AN10" s="103" t="s">
        <v>209</v>
      </c>
      <c r="AO10" s="103" t="s">
        <v>210</v>
      </c>
      <c r="AP10" s="137">
        <v>1.4314833688501807</v>
      </c>
    </row>
    <row r="11" spans="1:42">
      <c r="A11" s="101" t="s">
        <v>216</v>
      </c>
      <c r="B11" s="104" t="s">
        <v>161</v>
      </c>
      <c r="C11" s="136">
        <v>257</v>
      </c>
      <c r="D11" s="136">
        <v>274</v>
      </c>
      <c r="E11" s="136">
        <v>61</v>
      </c>
      <c r="F11" s="136">
        <v>70</v>
      </c>
      <c r="G11" s="136">
        <v>270</v>
      </c>
      <c r="H11" s="136">
        <v>278</v>
      </c>
      <c r="I11" s="136">
        <v>318</v>
      </c>
      <c r="J11" s="136">
        <v>300</v>
      </c>
      <c r="K11" s="136">
        <v>276</v>
      </c>
      <c r="L11" s="136">
        <v>276</v>
      </c>
      <c r="M11" s="136">
        <v>0</v>
      </c>
      <c r="N11" s="136">
        <v>0</v>
      </c>
      <c r="O11" s="136">
        <v>0</v>
      </c>
      <c r="P11" s="136">
        <v>21</v>
      </c>
      <c r="Q11" s="136">
        <v>284</v>
      </c>
      <c r="R11" s="136">
        <v>285</v>
      </c>
      <c r="S11" s="136">
        <v>11</v>
      </c>
      <c r="T11" s="136">
        <v>14</v>
      </c>
      <c r="U11" s="136">
        <v>281</v>
      </c>
      <c r="V11" s="136">
        <v>289</v>
      </c>
      <c r="W11" s="136">
        <v>221</v>
      </c>
      <c r="X11" s="136">
        <v>224</v>
      </c>
      <c r="Y11" s="136">
        <v>259</v>
      </c>
      <c r="Z11" s="136">
        <v>255</v>
      </c>
      <c r="AA11" s="89">
        <v>2238</v>
      </c>
      <c r="AB11" s="89">
        <v>2286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137">
        <v>2.0997375328083989</v>
      </c>
    </row>
    <row r="12" spans="1:42" ht="45">
      <c r="A12" s="101" t="s">
        <v>138</v>
      </c>
      <c r="B12" s="104" t="s">
        <v>213</v>
      </c>
      <c r="C12" s="136">
        <v>22</v>
      </c>
      <c r="D12" s="136">
        <v>22</v>
      </c>
      <c r="E12" s="136">
        <v>0</v>
      </c>
      <c r="F12" s="136">
        <v>0</v>
      </c>
      <c r="G12" s="136">
        <v>2</v>
      </c>
      <c r="H12" s="136">
        <v>2</v>
      </c>
      <c r="I12" s="136">
        <v>47</v>
      </c>
      <c r="J12" s="136">
        <v>49</v>
      </c>
      <c r="K12" s="136">
        <v>0</v>
      </c>
      <c r="L12" s="136">
        <v>25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1</v>
      </c>
      <c r="T12" s="136">
        <v>1</v>
      </c>
      <c r="U12" s="136">
        <v>24</v>
      </c>
      <c r="V12" s="136">
        <v>24</v>
      </c>
      <c r="W12" s="136">
        <v>0</v>
      </c>
      <c r="X12" s="136">
        <v>0</v>
      </c>
      <c r="Y12" s="136">
        <v>53</v>
      </c>
      <c r="Z12" s="136">
        <v>53</v>
      </c>
      <c r="AA12" s="89">
        <v>149</v>
      </c>
      <c r="AB12" s="89">
        <v>176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137">
        <v>15.340909090909092</v>
      </c>
    </row>
    <row r="13" spans="1:42" ht="60">
      <c r="A13" s="101" t="s">
        <v>217</v>
      </c>
      <c r="B13" s="104" t="s">
        <v>214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89">
        <v>0</v>
      </c>
      <c r="AB13" s="89">
        <v>0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137">
        <v>0</v>
      </c>
    </row>
    <row r="14" spans="1:42">
      <c r="A14" s="101" t="s">
        <v>218</v>
      </c>
      <c r="B14" s="104" t="s">
        <v>215</v>
      </c>
      <c r="C14" s="136">
        <f>SUM(C10:C13)</f>
        <v>3405</v>
      </c>
      <c r="D14" s="136">
        <f t="shared" ref="D14:Z14" si="0">SUM(D10:D13)</f>
        <v>3357</v>
      </c>
      <c r="E14" s="136">
        <f t="shared" si="0"/>
        <v>312</v>
      </c>
      <c r="F14" s="136">
        <f t="shared" si="0"/>
        <v>306</v>
      </c>
      <c r="G14" s="136">
        <f t="shared" si="0"/>
        <v>3164</v>
      </c>
      <c r="H14" s="136">
        <f t="shared" si="0"/>
        <v>3135</v>
      </c>
      <c r="I14" s="136">
        <f t="shared" si="0"/>
        <v>2956</v>
      </c>
      <c r="J14" s="136">
        <f t="shared" si="0"/>
        <v>2956</v>
      </c>
      <c r="K14" s="136">
        <f t="shared" si="0"/>
        <v>3281</v>
      </c>
      <c r="L14" s="136">
        <f t="shared" si="0"/>
        <v>3346</v>
      </c>
      <c r="M14" s="136">
        <f t="shared" si="0"/>
        <v>39</v>
      </c>
      <c r="N14" s="136">
        <f t="shared" si="0"/>
        <v>44</v>
      </c>
      <c r="O14" s="136">
        <f t="shared" si="0"/>
        <v>44</v>
      </c>
      <c r="P14" s="136">
        <f t="shared" si="0"/>
        <v>387</v>
      </c>
      <c r="Q14" s="136">
        <f t="shared" si="0"/>
        <v>2898</v>
      </c>
      <c r="R14" s="136">
        <f t="shared" si="0"/>
        <v>2880</v>
      </c>
      <c r="S14" s="136">
        <f t="shared" si="0"/>
        <v>133</v>
      </c>
      <c r="T14" s="136">
        <f t="shared" si="0"/>
        <v>202</v>
      </c>
      <c r="U14" s="136">
        <f t="shared" si="0"/>
        <v>3850</v>
      </c>
      <c r="V14" s="136">
        <f t="shared" si="0"/>
        <v>3045</v>
      </c>
      <c r="W14" s="136">
        <f t="shared" si="0"/>
        <v>1959</v>
      </c>
      <c r="X14" s="136">
        <f t="shared" si="0"/>
        <v>2282</v>
      </c>
      <c r="Y14" s="136">
        <f t="shared" si="0"/>
        <v>1623</v>
      </c>
      <c r="Z14" s="136">
        <f t="shared" si="0"/>
        <v>1834</v>
      </c>
      <c r="AA14" s="86">
        <v>23664</v>
      </c>
      <c r="AB14" s="89">
        <v>24048</v>
      </c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137">
        <v>0.46269033397829562</v>
      </c>
    </row>
    <row r="15" spans="1:42" ht="60">
      <c r="A15" s="101" t="s">
        <v>219</v>
      </c>
      <c r="B15" s="104" t="s">
        <v>220</v>
      </c>
      <c r="C15" s="134">
        <v>0</v>
      </c>
      <c r="D15" s="134">
        <v>0</v>
      </c>
      <c r="E15" s="136"/>
      <c r="F15" s="136"/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00">
        <v>15</v>
      </c>
      <c r="V15" s="100">
        <v>15</v>
      </c>
      <c r="W15" s="100">
        <v>0</v>
      </c>
      <c r="X15" s="100">
        <v>14</v>
      </c>
      <c r="Y15" s="100">
        <v>0</v>
      </c>
      <c r="Z15" s="100">
        <v>16</v>
      </c>
      <c r="AA15" s="89">
        <v>15</v>
      </c>
      <c r="AB15" s="89">
        <v>45</v>
      </c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137">
        <v>66.666666666666657</v>
      </c>
    </row>
    <row r="16" spans="1:42">
      <c r="Q16" s="98"/>
      <c r="R16" s="98"/>
      <c r="S16" s="98"/>
      <c r="T16" s="98"/>
      <c r="U16" s="98"/>
      <c r="V16" s="98"/>
    </row>
    <row r="17" spans="2:18">
      <c r="Q17" s="133"/>
      <c r="R17" s="133"/>
    </row>
    <row r="18" spans="2:18">
      <c r="B18" s="32" t="s">
        <v>226</v>
      </c>
    </row>
  </sheetData>
  <mergeCells count="19">
    <mergeCell ref="Y8:Z8"/>
    <mergeCell ref="E8:F8"/>
    <mergeCell ref="A1:AP1"/>
    <mergeCell ref="A2:AP2"/>
    <mergeCell ref="A3:AP3"/>
    <mergeCell ref="A4:AP4"/>
    <mergeCell ref="A8:A9"/>
    <mergeCell ref="AA8:AP8"/>
    <mergeCell ref="A5:AP5"/>
    <mergeCell ref="C8:D8"/>
    <mergeCell ref="G8:H8"/>
    <mergeCell ref="I8:J8"/>
    <mergeCell ref="K8:L8"/>
    <mergeCell ref="M8:N8"/>
    <mergeCell ref="O8:P8"/>
    <mergeCell ref="Q8:R8"/>
    <mergeCell ref="S8:T8"/>
    <mergeCell ref="U8:V8"/>
    <mergeCell ref="W8:X8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2"/>
  <sheetViews>
    <sheetView view="pageBreakPreview" zoomScaleNormal="100" zoomScaleSheetLayoutView="100" workbookViewId="0">
      <selection activeCell="A36" sqref="A36"/>
    </sheetView>
  </sheetViews>
  <sheetFormatPr defaultColWidth="9.140625" defaultRowHeight="15"/>
  <cols>
    <col min="1" max="1" width="195.85546875" style="2" customWidth="1"/>
    <col min="2" max="16384" width="9.140625" style="2"/>
  </cols>
  <sheetData>
    <row r="1" spans="1:1" ht="15.75">
      <c r="A1" s="63" t="s">
        <v>100</v>
      </c>
    </row>
    <row r="2" spans="1:1">
      <c r="A2" s="2" t="s">
        <v>195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17"/>
  <sheetViews>
    <sheetView zoomScale="85" zoomScaleNormal="85" zoomScaleSheetLayoutView="85" workbookViewId="0">
      <selection activeCell="N29" sqref="N29"/>
    </sheetView>
  </sheetViews>
  <sheetFormatPr defaultColWidth="9.140625" defaultRowHeight="1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>
      <c r="A1" s="63" t="s">
        <v>129</v>
      </c>
    </row>
    <row r="3" spans="1:31" ht="45" customHeight="1">
      <c r="A3" s="176" t="s">
        <v>0</v>
      </c>
      <c r="B3" s="176" t="s">
        <v>101</v>
      </c>
      <c r="C3" s="176" t="s">
        <v>102</v>
      </c>
      <c r="D3" s="176" t="s">
        <v>103</v>
      </c>
      <c r="E3" s="176" t="s">
        <v>104</v>
      </c>
      <c r="F3" s="176"/>
      <c r="G3" s="176"/>
      <c r="H3" s="176"/>
      <c r="I3" s="176"/>
      <c r="J3" s="176" t="s">
        <v>105</v>
      </c>
      <c r="K3" s="176"/>
      <c r="L3" s="176"/>
      <c r="M3" s="176"/>
      <c r="N3" s="176"/>
      <c r="O3" s="176"/>
      <c r="P3" s="176" t="s">
        <v>106</v>
      </c>
      <c r="Q3" s="176"/>
      <c r="R3" s="176"/>
      <c r="S3" s="176"/>
      <c r="T3" s="176"/>
      <c r="U3" s="176"/>
      <c r="V3" s="176"/>
      <c r="W3" s="176" t="s">
        <v>107</v>
      </c>
      <c r="X3" s="176"/>
      <c r="Y3" s="176"/>
      <c r="Z3" s="176"/>
      <c r="AA3" s="176" t="s">
        <v>108</v>
      </c>
      <c r="AB3" s="176"/>
      <c r="AC3" s="176"/>
      <c r="AD3" s="176" t="s">
        <v>109</v>
      </c>
      <c r="AE3" s="176"/>
    </row>
    <row r="4" spans="1:31" ht="150">
      <c r="A4" s="176"/>
      <c r="B4" s="176"/>
      <c r="C4" s="176"/>
      <c r="D4" s="176"/>
      <c r="E4" s="3" t="s">
        <v>110</v>
      </c>
      <c r="F4" s="3" t="s">
        <v>111</v>
      </c>
      <c r="G4" s="3" t="s">
        <v>112</v>
      </c>
      <c r="H4" s="3" t="s">
        <v>113</v>
      </c>
      <c r="I4" s="3" t="s">
        <v>46</v>
      </c>
      <c r="J4" s="3" t="s">
        <v>114</v>
      </c>
      <c r="K4" s="3" t="s">
        <v>115</v>
      </c>
      <c r="L4" s="3" t="s">
        <v>116</v>
      </c>
      <c r="M4" s="3" t="s">
        <v>117</v>
      </c>
      <c r="N4" s="3" t="s">
        <v>118</v>
      </c>
      <c r="O4" s="3" t="s">
        <v>46</v>
      </c>
      <c r="P4" s="3" t="s">
        <v>119</v>
      </c>
      <c r="Q4" s="3" t="s">
        <v>120</v>
      </c>
      <c r="R4" s="3" t="s">
        <v>115</v>
      </c>
      <c r="S4" s="3" t="s">
        <v>116</v>
      </c>
      <c r="T4" s="3" t="s">
        <v>117</v>
      </c>
      <c r="U4" s="3" t="s">
        <v>118</v>
      </c>
      <c r="V4" s="3" t="s">
        <v>46</v>
      </c>
      <c r="W4" s="3" t="s">
        <v>121</v>
      </c>
      <c r="X4" s="3" t="s">
        <v>122</v>
      </c>
      <c r="Y4" s="3" t="s">
        <v>123</v>
      </c>
      <c r="Z4" s="3" t="s">
        <v>46</v>
      </c>
      <c r="AA4" s="3" t="s">
        <v>124</v>
      </c>
      <c r="AB4" s="3" t="s">
        <v>125</v>
      </c>
      <c r="AC4" s="3" t="s">
        <v>126</v>
      </c>
      <c r="AD4" s="3" t="s">
        <v>127</v>
      </c>
      <c r="AE4" s="3" t="s">
        <v>128</v>
      </c>
    </row>
    <row r="5" spans="1:3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>
      <c r="A6" s="79">
        <v>1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 t="s">
        <v>191</v>
      </c>
      <c r="AE6" s="79" t="s">
        <v>191</v>
      </c>
    </row>
    <row r="7" spans="1:31" s="20" customFormat="1" ht="28.5" customHeight="1">
      <c r="A7" s="107">
        <f>+A6+1</f>
        <v>2</v>
      </c>
      <c r="B7" s="19"/>
      <c r="C7" s="4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0" customFormat="1" ht="28.5" customHeight="1">
      <c r="A8" s="107">
        <f t="shared" ref="A8:A16" si="0">+A7+1</f>
        <v>3</v>
      </c>
      <c r="B8" s="43"/>
      <c r="C8" s="44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5"/>
      <c r="AE8" s="43"/>
    </row>
    <row r="9" spans="1:31" s="20" customFormat="1" ht="28.5" customHeight="1">
      <c r="A9" s="107">
        <f t="shared" si="0"/>
        <v>4</v>
      </c>
      <c r="B9" s="43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5"/>
      <c r="AE9" s="43"/>
    </row>
    <row r="10" spans="1:31" s="20" customFormat="1" ht="28.5" customHeight="1">
      <c r="A10" s="107">
        <f t="shared" si="0"/>
        <v>5</v>
      </c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5"/>
      <c r="AE10" s="43"/>
    </row>
    <row r="11" spans="1:31" s="20" customFormat="1" ht="28.5" customHeight="1">
      <c r="A11" s="107">
        <f t="shared" si="0"/>
        <v>6</v>
      </c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5"/>
      <c r="AE11" s="43"/>
    </row>
    <row r="12" spans="1:31" s="20" customFormat="1" ht="28.5" customHeight="1">
      <c r="A12" s="107">
        <f t="shared" si="0"/>
        <v>7</v>
      </c>
      <c r="B12" s="43"/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5"/>
      <c r="AE12" s="43"/>
    </row>
    <row r="13" spans="1:31" s="20" customFormat="1" ht="28.5" customHeight="1">
      <c r="A13" s="107">
        <f t="shared" si="0"/>
        <v>8</v>
      </c>
      <c r="B13" s="43"/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5"/>
      <c r="AE13" s="43"/>
    </row>
    <row r="14" spans="1:31" s="20" customFormat="1" ht="28.5" customHeight="1">
      <c r="A14" s="107">
        <f t="shared" si="0"/>
        <v>9</v>
      </c>
      <c r="B14" s="43"/>
      <c r="C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5"/>
      <c r="AE14" s="43"/>
    </row>
    <row r="15" spans="1:31" s="20" customFormat="1" ht="28.5" customHeight="1">
      <c r="A15" s="107">
        <f t="shared" si="0"/>
        <v>10</v>
      </c>
      <c r="B15" s="43"/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5"/>
      <c r="AE15" s="43"/>
    </row>
    <row r="16" spans="1:31" s="20" customFormat="1" ht="28.5" customHeight="1">
      <c r="A16" s="107">
        <f t="shared" si="0"/>
        <v>11</v>
      </c>
      <c r="B16" s="43"/>
      <c r="C16" s="4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5"/>
      <c r="AE16" s="43"/>
    </row>
    <row r="17" spans="30:30">
      <c r="AD1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"/>
  <sheetViews>
    <sheetView zoomScaleNormal="100" zoomScaleSheetLayoutView="100" workbookViewId="0">
      <selection activeCell="D26" sqref="D26"/>
    </sheetView>
  </sheetViews>
  <sheetFormatPr defaultColWidth="9.140625" defaultRowHeight="1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>
      <c r="A1" s="174"/>
      <c r="B1" s="175"/>
      <c r="C1" s="175"/>
      <c r="D1" s="175"/>
      <c r="E1" s="175"/>
    </row>
    <row r="3" spans="1:5" s="31" customFormat="1" ht="45.75" customHeight="1">
      <c r="A3" s="1"/>
      <c r="B3" s="1"/>
      <c r="C3" s="1" t="s">
        <v>172</v>
      </c>
      <c r="D3" s="1" t="s">
        <v>148</v>
      </c>
      <c r="E3" s="1" t="s">
        <v>149</v>
      </c>
    </row>
    <row r="4" spans="1:5" ht="34.5" customHeight="1">
      <c r="A4" s="67">
        <v>1</v>
      </c>
      <c r="B4" s="87" t="s">
        <v>190</v>
      </c>
      <c r="C4" s="67">
        <f>SUM(D4:E4)</f>
        <v>51</v>
      </c>
      <c r="D4" s="67">
        <v>51</v>
      </c>
      <c r="E4" s="67">
        <v>0</v>
      </c>
    </row>
    <row r="5" spans="1:5" ht="30">
      <c r="A5" s="67">
        <v>2</v>
      </c>
      <c r="B5" s="76" t="s">
        <v>189</v>
      </c>
      <c r="C5" s="67">
        <v>0</v>
      </c>
      <c r="D5" s="67">
        <v>0</v>
      </c>
      <c r="E5" s="67"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F11"/>
  <sheetViews>
    <sheetView zoomScaleNormal="100" zoomScaleSheetLayoutView="115" workbookViewId="0">
      <selection activeCell="B34" sqref="B34"/>
    </sheetView>
  </sheetViews>
  <sheetFormatPr defaultColWidth="9.140625" defaultRowHeight="15"/>
  <cols>
    <col min="1" max="1" width="6.7109375" style="2" customWidth="1"/>
    <col min="2" max="2" width="37.42578125" style="2" customWidth="1"/>
    <col min="3" max="3" width="13" style="2" customWidth="1"/>
    <col min="4" max="5" width="12.7109375" style="2" customWidth="1"/>
    <col min="6" max="6" width="17.28515625" style="2" customWidth="1"/>
    <col min="7" max="16384" width="9.140625" style="2"/>
  </cols>
  <sheetData>
    <row r="2" spans="1:6" ht="15" customHeight="1">
      <c r="A2" s="177" t="s">
        <v>227</v>
      </c>
      <c r="B2" s="177"/>
      <c r="C2" s="177"/>
      <c r="D2" s="177"/>
      <c r="E2" s="177"/>
      <c r="F2" s="177"/>
    </row>
    <row r="3" spans="1:6">
      <c r="A3" s="7"/>
    </row>
    <row r="4" spans="1:6">
      <c r="A4" s="176" t="s">
        <v>0</v>
      </c>
      <c r="B4" s="176" t="s">
        <v>164</v>
      </c>
      <c r="C4" s="88"/>
      <c r="D4" s="176" t="s">
        <v>228</v>
      </c>
      <c r="E4" s="176"/>
      <c r="F4" s="176"/>
    </row>
    <row r="5" spans="1:6" ht="45">
      <c r="A5" s="176"/>
      <c r="B5" s="176"/>
      <c r="C5" s="88" t="s">
        <v>229</v>
      </c>
      <c r="D5" s="62">
        <v>2015</v>
      </c>
      <c r="E5" s="62">
        <v>2016</v>
      </c>
      <c r="F5" s="3" t="s">
        <v>165</v>
      </c>
    </row>
    <row r="6" spans="1:6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</row>
    <row r="7" spans="1:6" ht="20.100000000000001" customHeight="1">
      <c r="A7" s="90">
        <v>1</v>
      </c>
      <c r="B7" s="108" t="s">
        <v>230</v>
      </c>
      <c r="C7" s="90" t="s">
        <v>235</v>
      </c>
      <c r="D7" s="90">
        <v>235.56</v>
      </c>
      <c r="E7" s="126">
        <v>270.45999999999998</v>
      </c>
      <c r="F7" s="109">
        <v>0</v>
      </c>
    </row>
    <row r="8" spans="1:6" ht="20.100000000000001" customHeight="1">
      <c r="A8" s="90">
        <v>2</v>
      </c>
      <c r="B8" s="108" t="s">
        <v>231</v>
      </c>
      <c r="C8" s="90" t="s">
        <v>235</v>
      </c>
      <c r="D8" s="90">
        <v>7.61</v>
      </c>
      <c r="E8" s="126">
        <v>19.63</v>
      </c>
      <c r="F8" s="109">
        <v>0</v>
      </c>
    </row>
    <row r="9" spans="1:6" ht="20.100000000000001" customHeight="1">
      <c r="A9" s="90">
        <v>3</v>
      </c>
      <c r="B9" s="108" t="s">
        <v>232</v>
      </c>
      <c r="C9" s="90" t="s">
        <v>235</v>
      </c>
      <c r="D9" s="90">
        <v>623.95000000000005</v>
      </c>
      <c r="E9" s="126">
        <v>727.31</v>
      </c>
      <c r="F9" s="109">
        <v>0</v>
      </c>
    </row>
    <row r="10" spans="1:6" ht="20.100000000000001" customHeight="1">
      <c r="A10" s="90">
        <v>4</v>
      </c>
      <c r="B10" s="108" t="s">
        <v>233</v>
      </c>
      <c r="C10" s="90" t="s">
        <v>235</v>
      </c>
      <c r="D10" s="90">
        <v>36.450000000000003</v>
      </c>
      <c r="E10" s="126">
        <v>55.68</v>
      </c>
      <c r="F10" s="109">
        <v>0</v>
      </c>
    </row>
    <row r="11" spans="1:6" ht="20.100000000000001" customHeight="1">
      <c r="A11" s="90">
        <v>5</v>
      </c>
      <c r="B11" s="19" t="s">
        <v>234</v>
      </c>
      <c r="C11" s="90" t="s">
        <v>236</v>
      </c>
      <c r="D11" s="90">
        <v>376</v>
      </c>
      <c r="E11" s="126">
        <v>434</v>
      </c>
      <c r="F11" s="109">
        <v>0</v>
      </c>
    </row>
  </sheetData>
  <mergeCells count="4">
    <mergeCell ref="A4:A5"/>
    <mergeCell ref="B4:B5"/>
    <mergeCell ref="D4:F4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D14"/>
  <sheetViews>
    <sheetView zoomScaleNormal="100" zoomScaleSheetLayoutView="115" workbookViewId="0">
      <selection activeCell="B37" sqref="B37"/>
    </sheetView>
  </sheetViews>
  <sheetFormatPr defaultColWidth="9.140625" defaultRowHeight="15"/>
  <cols>
    <col min="1" max="1" width="27.42578125" style="2" customWidth="1"/>
    <col min="2" max="2" width="24" style="2" customWidth="1"/>
    <col min="3" max="3" width="27" style="2" customWidth="1"/>
    <col min="4" max="4" width="17.42578125" style="2" customWidth="1"/>
    <col min="5" max="16384" width="9.140625" style="2"/>
  </cols>
  <sheetData>
    <row r="2" spans="1:4" ht="37.5" customHeight="1">
      <c r="A2" s="174" t="s">
        <v>166</v>
      </c>
      <c r="B2" s="175"/>
      <c r="C2" s="175"/>
    </row>
    <row r="4" spans="1:4">
      <c r="A4"/>
      <c r="B4"/>
      <c r="C4"/>
      <c r="D4"/>
    </row>
    <row r="5" spans="1:4">
      <c r="A5"/>
      <c r="B5"/>
      <c r="C5"/>
      <c r="D5"/>
    </row>
    <row r="6" spans="1:4" ht="33" customHeight="1">
      <c r="A6"/>
      <c r="B6"/>
      <c r="C6"/>
      <c r="D6"/>
    </row>
    <row r="7" spans="1:4" ht="15.75">
      <c r="A7" s="178" t="s">
        <v>237</v>
      </c>
      <c r="B7" s="178"/>
      <c r="C7" s="178"/>
      <c r="D7" s="178"/>
    </row>
    <row r="8" spans="1:4" ht="15.75" thickBot="1">
      <c r="A8"/>
      <c r="B8"/>
      <c r="C8"/>
      <c r="D8"/>
    </row>
    <row r="9" spans="1:4" ht="30.75" thickBot="1">
      <c r="A9" s="110" t="s">
        <v>238</v>
      </c>
      <c r="B9" s="111" t="s">
        <v>245</v>
      </c>
      <c r="C9" s="111" t="s">
        <v>246</v>
      </c>
      <c r="D9" s="112" t="s">
        <v>239</v>
      </c>
    </row>
    <row r="10" spans="1:4">
      <c r="A10" s="113" t="s">
        <v>240</v>
      </c>
      <c r="B10" s="114">
        <v>75</v>
      </c>
      <c r="C10" s="114">
        <v>74</v>
      </c>
      <c r="D10" s="115">
        <f>B10-C10</f>
        <v>1</v>
      </c>
    </row>
    <row r="11" spans="1:4">
      <c r="A11" s="116" t="s">
        <v>241</v>
      </c>
      <c r="B11" s="117">
        <v>86</v>
      </c>
      <c r="C11" s="117">
        <v>84</v>
      </c>
      <c r="D11" s="115">
        <f t="shared" ref="D11:D14" si="0">B11-C11</f>
        <v>2</v>
      </c>
    </row>
    <row r="12" spans="1:4">
      <c r="A12" s="116" t="s">
        <v>242</v>
      </c>
      <c r="B12" s="117">
        <v>75</v>
      </c>
      <c r="C12" s="117">
        <v>75</v>
      </c>
      <c r="D12" s="115">
        <f t="shared" si="0"/>
        <v>0</v>
      </c>
    </row>
    <row r="13" spans="1:4">
      <c r="A13" s="116" t="s">
        <v>243</v>
      </c>
      <c r="B13" s="117">
        <v>75</v>
      </c>
      <c r="C13" s="117">
        <v>75</v>
      </c>
      <c r="D13" s="115">
        <f t="shared" si="0"/>
        <v>0</v>
      </c>
    </row>
    <row r="14" spans="1:4" ht="15.75" thickBot="1">
      <c r="A14" s="118" t="s">
        <v>244</v>
      </c>
      <c r="B14" s="119">
        <v>90</v>
      </c>
      <c r="C14" s="119">
        <v>88</v>
      </c>
      <c r="D14" s="115">
        <f t="shared" si="0"/>
        <v>2</v>
      </c>
    </row>
  </sheetData>
  <mergeCells count="2">
    <mergeCell ref="A2:C2"/>
    <mergeCell ref="A7:D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8"/>
  <sheetViews>
    <sheetView zoomScaleNormal="100" zoomScaleSheetLayoutView="100" workbookViewId="0">
      <selection activeCell="D15" sqref="D15:D16"/>
    </sheetView>
  </sheetViews>
  <sheetFormatPr defaultColWidth="9.140625" defaultRowHeight="1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>
      <c r="A1" s="179"/>
      <c r="B1" s="179"/>
      <c r="C1" s="179"/>
      <c r="D1" s="179"/>
      <c r="E1" s="179"/>
    </row>
    <row r="2" spans="1:8" ht="103.5" customHeight="1">
      <c r="A2" s="180" t="s">
        <v>176</v>
      </c>
      <c r="B2" s="180"/>
      <c r="C2" s="180"/>
      <c r="D2" s="180"/>
      <c r="E2" s="180"/>
    </row>
    <row r="4" spans="1:8">
      <c r="A4" s="176" t="s">
        <v>0</v>
      </c>
      <c r="B4" s="176" t="s">
        <v>1</v>
      </c>
      <c r="C4" s="176" t="s">
        <v>2</v>
      </c>
      <c r="D4" s="176"/>
      <c r="E4" s="176"/>
      <c r="H4" s="9"/>
    </row>
    <row r="5" spans="1:8" ht="51.75" customHeight="1">
      <c r="A5" s="176"/>
      <c r="B5" s="176"/>
      <c r="C5" s="62">
        <v>2015</v>
      </c>
      <c r="D5" s="62">
        <v>2016</v>
      </c>
      <c r="E5" s="3" t="s">
        <v>81</v>
      </c>
    </row>
    <row r="6" spans="1:8" ht="19.5" customHeight="1">
      <c r="A6" s="3">
        <v>1</v>
      </c>
      <c r="B6" s="3">
        <v>2</v>
      </c>
      <c r="C6" s="61">
        <v>3</v>
      </c>
      <c r="D6" s="3">
        <v>4</v>
      </c>
      <c r="E6" s="3">
        <v>5</v>
      </c>
    </row>
    <row r="7" spans="1:8" ht="64.5" customHeight="1">
      <c r="A7" s="10">
        <v>1</v>
      </c>
      <c r="B7" s="11" t="s">
        <v>171</v>
      </c>
      <c r="C7" s="12"/>
      <c r="D7" s="12"/>
      <c r="E7" s="13"/>
    </row>
    <row r="8" spans="1:8">
      <c r="A8" s="4" t="s">
        <v>130</v>
      </c>
      <c r="B8" s="14" t="s">
        <v>3</v>
      </c>
      <c r="C8" s="15" t="s">
        <v>191</v>
      </c>
      <c r="D8" s="15" t="s">
        <v>191</v>
      </c>
      <c r="E8" s="6" t="s">
        <v>191</v>
      </c>
    </row>
    <row r="9" spans="1:8" ht="17.25" customHeight="1">
      <c r="A9" s="4" t="s">
        <v>131</v>
      </c>
      <c r="B9" s="14" t="s">
        <v>4</v>
      </c>
      <c r="C9" s="15" t="s">
        <v>191</v>
      </c>
      <c r="D9" s="15" t="s">
        <v>191</v>
      </c>
      <c r="E9" s="6" t="s">
        <v>191</v>
      </c>
    </row>
    <row r="10" spans="1:8" ht="17.25" customHeight="1">
      <c r="A10" s="4" t="s">
        <v>132</v>
      </c>
      <c r="B10" s="14" t="s">
        <v>5</v>
      </c>
      <c r="C10" s="120">
        <f>148385/19857</f>
        <v>7.4726796595658964</v>
      </c>
      <c r="D10" s="120">
        <f>153397/24048</f>
        <v>6.378784098469727</v>
      </c>
      <c r="E10" s="6">
        <f>(C10-D10)/C10*100</f>
        <v>14.638598346656762</v>
      </c>
    </row>
    <row r="11" spans="1:8" ht="17.25" customHeight="1">
      <c r="A11" s="4" t="s">
        <v>133</v>
      </c>
      <c r="B11" s="14" t="s">
        <v>6</v>
      </c>
      <c r="C11" s="120">
        <f>89233/19857</f>
        <v>4.4937805307951857</v>
      </c>
      <c r="D11" s="120">
        <f>81496/24048</f>
        <v>3.3888888888888888</v>
      </c>
      <c r="E11" s="6">
        <f>(C11-D11)/C11*100</f>
        <v>24.587129574634201</v>
      </c>
    </row>
    <row r="12" spans="1:8" ht="50.25" customHeight="1">
      <c r="A12" s="16">
        <v>2</v>
      </c>
      <c r="B12" s="11" t="s">
        <v>170</v>
      </c>
      <c r="C12" s="12"/>
      <c r="D12" s="12"/>
      <c r="E12" s="13"/>
    </row>
    <row r="13" spans="1:8" ht="17.25" customHeight="1">
      <c r="A13" s="4" t="s">
        <v>134</v>
      </c>
      <c r="B13" s="14" t="s">
        <v>3</v>
      </c>
      <c r="C13" s="15" t="s">
        <v>191</v>
      </c>
      <c r="D13" s="15" t="s">
        <v>191</v>
      </c>
      <c r="E13" s="6" t="s">
        <v>191</v>
      </c>
    </row>
    <row r="14" spans="1:8" ht="17.25" customHeight="1">
      <c r="A14" s="4" t="s">
        <v>135</v>
      </c>
      <c r="B14" s="14" t="s">
        <v>4</v>
      </c>
      <c r="C14" s="15" t="s">
        <v>191</v>
      </c>
      <c r="D14" s="15" t="s">
        <v>191</v>
      </c>
      <c r="E14" s="6" t="s">
        <v>191</v>
      </c>
    </row>
    <row r="15" spans="1:8" ht="17.25" customHeight="1">
      <c r="A15" s="4" t="s">
        <v>136</v>
      </c>
      <c r="B15" s="14" t="s">
        <v>5</v>
      </c>
      <c r="C15" s="120">
        <f>36922/19857</f>
        <v>1.8593946719041143</v>
      </c>
      <c r="D15" s="120">
        <f>53481/24048</f>
        <v>2.2239271457085827</v>
      </c>
      <c r="E15" s="6">
        <f>(C15-D15)/C15*100</f>
        <v>-19.604900418003709</v>
      </c>
    </row>
    <row r="16" spans="1:8" ht="17.25" customHeight="1">
      <c r="A16" s="4" t="s">
        <v>137</v>
      </c>
      <c r="B16" s="14" t="s">
        <v>6</v>
      </c>
      <c r="C16" s="120">
        <f>22221/19857</f>
        <v>1.1190512161957999</v>
      </c>
      <c r="D16" s="120">
        <f>29031/24048</f>
        <v>1.2072105788423153</v>
      </c>
      <c r="E16" s="6">
        <f>(C16-D16)/C16*100</f>
        <v>-7.8780453808192945</v>
      </c>
    </row>
    <row r="17" spans="1:5" s="23" customFormat="1" ht="151.5" customHeight="1">
      <c r="A17" s="16" t="s">
        <v>138</v>
      </c>
      <c r="B17" s="11" t="s">
        <v>169</v>
      </c>
      <c r="C17" s="12"/>
      <c r="D17" s="12"/>
      <c r="E17" s="13"/>
    </row>
    <row r="18" spans="1:5" s="23" customFormat="1" ht="17.25" customHeight="1">
      <c r="A18" s="28" t="s">
        <v>139</v>
      </c>
      <c r="B18" s="30" t="s">
        <v>3</v>
      </c>
      <c r="C18" s="15" t="s">
        <v>191</v>
      </c>
      <c r="D18" s="15" t="s">
        <v>191</v>
      </c>
      <c r="E18" s="6" t="s">
        <v>191</v>
      </c>
    </row>
    <row r="19" spans="1:5" s="23" customFormat="1" ht="17.25" customHeight="1">
      <c r="A19" s="28" t="s">
        <v>140</v>
      </c>
      <c r="B19" s="30" t="s">
        <v>4</v>
      </c>
      <c r="C19" s="15" t="s">
        <v>191</v>
      </c>
      <c r="D19" s="15" t="s">
        <v>191</v>
      </c>
      <c r="E19" s="6" t="s">
        <v>191</v>
      </c>
    </row>
    <row r="20" spans="1:5" s="23" customFormat="1" ht="17.25" customHeight="1">
      <c r="A20" s="28" t="s">
        <v>141</v>
      </c>
      <c r="B20" s="30" t="s">
        <v>5</v>
      </c>
      <c r="C20" s="120">
        <f>91133/19857</f>
        <v>4.5894646724077148</v>
      </c>
      <c r="D20" s="120">
        <f>123961/24048</f>
        <v>5.1547322022621422</v>
      </c>
      <c r="E20" s="6">
        <f>(C20-D20)/C20*100</f>
        <v>-12.316633206763045</v>
      </c>
    </row>
    <row r="21" spans="1:5" s="23" customFormat="1" ht="17.25" customHeight="1">
      <c r="A21" s="28" t="s">
        <v>142</v>
      </c>
      <c r="B21" s="30" t="s">
        <v>6</v>
      </c>
      <c r="C21" s="120">
        <f>79228/19857</f>
        <v>3.9899279850934177</v>
      </c>
      <c r="D21" s="120">
        <f>75363/24048</f>
        <v>3.1338572854291415</v>
      </c>
      <c r="E21" s="6">
        <f>(C21-D21)/C21*100</f>
        <v>21.455793258991182</v>
      </c>
    </row>
    <row r="22" spans="1:5" s="23" customFormat="1" ht="135" customHeight="1">
      <c r="A22" s="16">
        <v>4</v>
      </c>
      <c r="B22" s="11" t="s">
        <v>159</v>
      </c>
      <c r="C22" s="12"/>
      <c r="D22" s="12"/>
      <c r="E22" s="13"/>
    </row>
    <row r="23" spans="1:5" s="23" customFormat="1" ht="17.25" customHeight="1">
      <c r="A23" s="28" t="s">
        <v>143</v>
      </c>
      <c r="B23" s="30" t="s">
        <v>3</v>
      </c>
      <c r="C23" s="15" t="s">
        <v>191</v>
      </c>
      <c r="D23" s="15" t="s">
        <v>191</v>
      </c>
      <c r="E23" s="6" t="s">
        <v>191</v>
      </c>
    </row>
    <row r="24" spans="1:5" s="23" customFormat="1" ht="17.25" customHeight="1">
      <c r="A24" s="28" t="s">
        <v>144</v>
      </c>
      <c r="B24" s="30" t="s">
        <v>4</v>
      </c>
      <c r="C24" s="15" t="s">
        <v>191</v>
      </c>
      <c r="D24" s="15" t="s">
        <v>191</v>
      </c>
      <c r="E24" s="6" t="s">
        <v>191</v>
      </c>
    </row>
    <row r="25" spans="1:5" s="23" customFormat="1" ht="17.25" customHeight="1">
      <c r="A25" s="28" t="s">
        <v>145</v>
      </c>
      <c r="B25" s="30" t="s">
        <v>5</v>
      </c>
      <c r="C25" s="120">
        <f>21645/19857</f>
        <v>1.0900438132648436</v>
      </c>
      <c r="D25" s="120">
        <f>42254/24048</f>
        <v>1.7570691949434465</v>
      </c>
      <c r="E25" s="6">
        <f t="shared" ref="E25:E26" si="0">(C25-D25)/C25*100</f>
        <v>-61.192529470972602</v>
      </c>
    </row>
    <row r="26" spans="1:5" s="23" customFormat="1" ht="17.25" customHeight="1">
      <c r="A26" s="28" t="s">
        <v>146</v>
      </c>
      <c r="B26" s="30" t="s">
        <v>6</v>
      </c>
      <c r="C26" s="120">
        <f>19523/19857</f>
        <v>0.98317973510600798</v>
      </c>
      <c r="D26" s="120">
        <f>26160/24048</f>
        <v>1.0878243512974053</v>
      </c>
      <c r="E26" s="6">
        <f t="shared" si="0"/>
        <v>-10.643487905099505</v>
      </c>
    </row>
    <row r="27" spans="1:5" s="23" customFormat="1" ht="75">
      <c r="A27" s="16">
        <v>5</v>
      </c>
      <c r="B27" s="11" t="s">
        <v>7</v>
      </c>
      <c r="C27" s="12"/>
      <c r="D27" s="12"/>
      <c r="E27" s="13"/>
    </row>
    <row r="28" spans="1:5" s="23" customFormat="1" ht="96.75" customHeight="1">
      <c r="A28" s="28" t="s">
        <v>147</v>
      </c>
      <c r="B28" s="22" t="s">
        <v>8</v>
      </c>
      <c r="C28" s="29">
        <v>0</v>
      </c>
      <c r="D28" s="29">
        <v>0</v>
      </c>
      <c r="E28" s="24">
        <v>0</v>
      </c>
    </row>
  </sheetData>
  <mergeCells count="5">
    <mergeCell ref="A1:E1"/>
    <mergeCell ref="A2:E2"/>
    <mergeCell ref="A4:A5"/>
    <mergeCell ref="B4:B5"/>
    <mergeCell ref="C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7 A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T20"/>
  <sheetViews>
    <sheetView zoomScaleNormal="100" zoomScaleSheetLayoutView="85" workbookViewId="0">
      <selection activeCell="G26" sqref="G26"/>
    </sheetView>
  </sheetViews>
  <sheetFormatPr defaultColWidth="9.140625" defaultRowHeight="15"/>
  <cols>
    <col min="1" max="1" width="5.140625" style="2" customWidth="1"/>
    <col min="2" max="2" width="27.42578125" style="2" customWidth="1"/>
    <col min="3" max="4" width="9.140625" style="2"/>
    <col min="5" max="6" width="11.42578125" style="2" bestFit="1" customWidth="1"/>
    <col min="7" max="8" width="9.140625" style="2"/>
    <col min="9" max="10" width="11.42578125" style="2" bestFit="1" customWidth="1"/>
    <col min="11" max="18" width="9.140625" style="2"/>
    <col min="19" max="19" width="28.5703125" style="2" customWidth="1"/>
    <col min="20" max="20" width="28" style="2" customWidth="1"/>
    <col min="21" max="16384" width="9.140625" style="2"/>
  </cols>
  <sheetData>
    <row r="2" spans="1:20" ht="15.75">
      <c r="A2" s="178" t="s">
        <v>177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4" spans="1:20" ht="194.25" customHeight="1">
      <c r="A4" s="176" t="s">
        <v>0</v>
      </c>
      <c r="B4" s="176" t="s">
        <v>10</v>
      </c>
      <c r="C4" s="176" t="s">
        <v>82</v>
      </c>
      <c r="D4" s="176"/>
      <c r="E4" s="176"/>
      <c r="F4" s="176"/>
      <c r="G4" s="176" t="s">
        <v>83</v>
      </c>
      <c r="H4" s="176"/>
      <c r="I4" s="176"/>
      <c r="J4" s="176"/>
      <c r="K4" s="176" t="s">
        <v>84</v>
      </c>
      <c r="L4" s="176"/>
      <c r="M4" s="176"/>
      <c r="N4" s="176"/>
      <c r="O4" s="176" t="s">
        <v>85</v>
      </c>
      <c r="P4" s="176"/>
      <c r="Q4" s="176"/>
      <c r="R4" s="176"/>
      <c r="S4" s="176" t="s">
        <v>11</v>
      </c>
      <c r="T4" s="176" t="s">
        <v>12</v>
      </c>
    </row>
    <row r="5" spans="1:20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>
      <c r="A6" s="176"/>
      <c r="B6" s="176"/>
      <c r="C6" s="3" t="s">
        <v>13</v>
      </c>
      <c r="D6" s="3" t="s">
        <v>14</v>
      </c>
      <c r="E6" s="3" t="s">
        <v>15</v>
      </c>
      <c r="F6" s="3" t="s">
        <v>16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13</v>
      </c>
      <c r="P6" s="3" t="s">
        <v>14</v>
      </c>
      <c r="Q6" s="3" t="s">
        <v>15</v>
      </c>
      <c r="R6" s="3" t="s">
        <v>16</v>
      </c>
      <c r="S6" s="176"/>
      <c r="T6" s="176"/>
    </row>
    <row r="7" spans="1:2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0" ht="15.75">
      <c r="A8" s="17">
        <v>1</v>
      </c>
      <c r="B8" s="124" t="s">
        <v>247</v>
      </c>
      <c r="C8" s="90" t="s">
        <v>191</v>
      </c>
      <c r="D8" s="90" t="s">
        <v>191</v>
      </c>
      <c r="E8" s="127">
        <f>30060.07/S8</f>
        <v>8.2787303773065268</v>
      </c>
      <c r="F8" s="127">
        <f>3383.67/S8</f>
        <v>0.93188377857339577</v>
      </c>
      <c r="G8" s="90" t="s">
        <v>191</v>
      </c>
      <c r="H8" s="90" t="s">
        <v>191</v>
      </c>
      <c r="I8" s="127">
        <f>10593/S8</f>
        <v>2.9173781327457999</v>
      </c>
      <c r="J8" s="127">
        <f>1528/S8</f>
        <v>0.42082071054805836</v>
      </c>
      <c r="K8" s="90" t="s">
        <v>263</v>
      </c>
      <c r="L8" s="90" t="s">
        <v>263</v>
      </c>
      <c r="M8" s="90" t="s">
        <v>263</v>
      </c>
      <c r="N8" s="90" t="s">
        <v>263</v>
      </c>
      <c r="O8" s="90" t="s">
        <v>263</v>
      </c>
      <c r="P8" s="90" t="s">
        <v>263</v>
      </c>
      <c r="Q8" s="90" t="s">
        <v>263</v>
      </c>
      <c r="R8" s="90" t="s">
        <v>263</v>
      </c>
      <c r="S8" s="80">
        <v>3631</v>
      </c>
      <c r="T8" s="181" t="s">
        <v>250</v>
      </c>
    </row>
    <row r="9" spans="1:20" ht="15.75">
      <c r="A9" s="17">
        <v>2</v>
      </c>
      <c r="B9" s="124" t="s">
        <v>252</v>
      </c>
      <c r="C9" s="90" t="s">
        <v>191</v>
      </c>
      <c r="D9" s="90" t="s">
        <v>191</v>
      </c>
      <c r="E9" s="127">
        <f>31689/S9</f>
        <v>10.406896551724138</v>
      </c>
      <c r="F9" s="127">
        <f>11739/S9</f>
        <v>3.8551724137931034</v>
      </c>
      <c r="G9" s="90" t="s">
        <v>191</v>
      </c>
      <c r="H9" s="90" t="s">
        <v>191</v>
      </c>
      <c r="I9" s="127">
        <f>9104/S9</f>
        <v>2.9898193760262726</v>
      </c>
      <c r="J9" s="127">
        <f>4657/S9</f>
        <v>1.529392446633826</v>
      </c>
      <c r="K9" s="90" t="s">
        <v>263</v>
      </c>
      <c r="L9" s="90" t="s">
        <v>263</v>
      </c>
      <c r="M9" s="90" t="s">
        <v>263</v>
      </c>
      <c r="N9" s="90" t="s">
        <v>263</v>
      </c>
      <c r="O9" s="90" t="s">
        <v>263</v>
      </c>
      <c r="P9" s="90" t="s">
        <v>263</v>
      </c>
      <c r="Q9" s="90" t="s">
        <v>263</v>
      </c>
      <c r="R9" s="90" t="s">
        <v>263</v>
      </c>
      <c r="S9" s="90">
        <f>289+2756</f>
        <v>3045</v>
      </c>
      <c r="T9" s="181"/>
    </row>
    <row r="10" spans="1:20" ht="15.75">
      <c r="A10" s="90">
        <v>3</v>
      </c>
      <c r="B10" s="124" t="s">
        <v>253</v>
      </c>
      <c r="C10" s="90" t="s">
        <v>191</v>
      </c>
      <c r="D10" s="90" t="s">
        <v>191</v>
      </c>
      <c r="E10" s="127">
        <f>6513/S10</f>
        <v>2.2033152909336944</v>
      </c>
      <c r="F10" s="127">
        <f>5128/S10</f>
        <v>1.7347767253044655</v>
      </c>
      <c r="G10" s="90" t="s">
        <v>191</v>
      </c>
      <c r="H10" s="90" t="s">
        <v>191</v>
      </c>
      <c r="I10" s="127">
        <f>2173/S10</f>
        <v>0.7351150202976996</v>
      </c>
      <c r="J10" s="127">
        <f>2572/S10</f>
        <v>0.8700947225981055</v>
      </c>
      <c r="K10" s="90" t="s">
        <v>263</v>
      </c>
      <c r="L10" s="90" t="s">
        <v>263</v>
      </c>
      <c r="M10" s="90" t="s">
        <v>263</v>
      </c>
      <c r="N10" s="90" t="s">
        <v>263</v>
      </c>
      <c r="O10" s="90" t="s">
        <v>263</v>
      </c>
      <c r="P10" s="90" t="s">
        <v>263</v>
      </c>
      <c r="Q10" s="90" t="s">
        <v>263</v>
      </c>
      <c r="R10" s="90" t="s">
        <v>263</v>
      </c>
      <c r="S10" s="90">
        <f>300+2656</f>
        <v>2956</v>
      </c>
      <c r="T10" s="181"/>
    </row>
    <row r="11" spans="1:20" ht="15.75">
      <c r="A11" s="90">
        <v>4</v>
      </c>
      <c r="B11" s="125" t="s">
        <v>254</v>
      </c>
      <c r="C11" s="90" t="s">
        <v>191</v>
      </c>
      <c r="D11" s="90" t="s">
        <v>191</v>
      </c>
      <c r="E11" s="127">
        <f>20696/S11</f>
        <v>6.1852958756724448</v>
      </c>
      <c r="F11" s="127">
        <f>31802/S11</f>
        <v>9.5044829647340112</v>
      </c>
      <c r="G11" s="90" t="s">
        <v>191</v>
      </c>
      <c r="H11" s="90" t="s">
        <v>191</v>
      </c>
      <c r="I11" s="127">
        <f>6681/S11</f>
        <v>1.9967124925283921</v>
      </c>
      <c r="J11" s="127">
        <f>12559/S11</f>
        <v>3.7534369396294083</v>
      </c>
      <c r="K11" s="90" t="s">
        <v>263</v>
      </c>
      <c r="L11" s="90" t="s">
        <v>263</v>
      </c>
      <c r="M11" s="90" t="s">
        <v>263</v>
      </c>
      <c r="N11" s="90" t="s">
        <v>263</v>
      </c>
      <c r="O11" s="90" t="s">
        <v>263</v>
      </c>
      <c r="P11" s="90" t="s">
        <v>263</v>
      </c>
      <c r="Q11" s="90" t="s">
        <v>263</v>
      </c>
      <c r="R11" s="90" t="s">
        <v>263</v>
      </c>
      <c r="S11" s="90">
        <f>276+3070</f>
        <v>3346</v>
      </c>
      <c r="T11" s="181"/>
    </row>
    <row r="12" spans="1:20" s="27" customFormat="1" ht="15.75">
      <c r="A12" s="90">
        <v>5</v>
      </c>
      <c r="B12" s="125" t="s">
        <v>255</v>
      </c>
      <c r="C12" s="90" t="s">
        <v>191</v>
      </c>
      <c r="D12" s="90" t="s">
        <v>191</v>
      </c>
      <c r="E12" s="127">
        <f>25289/S12</f>
        <v>8.7809027777777775</v>
      </c>
      <c r="F12" s="127">
        <f>3832/S12</f>
        <v>1.3305555555555555</v>
      </c>
      <c r="G12" s="90" t="s">
        <v>191</v>
      </c>
      <c r="H12" s="90" t="s">
        <v>191</v>
      </c>
      <c r="I12" s="127">
        <f>10472/S12</f>
        <v>3.6361111111111111</v>
      </c>
      <c r="J12" s="127">
        <f>2061/S12</f>
        <v>0.71562499999999996</v>
      </c>
      <c r="K12" s="90" t="s">
        <v>263</v>
      </c>
      <c r="L12" s="90" t="s">
        <v>263</v>
      </c>
      <c r="M12" s="90" t="s">
        <v>263</v>
      </c>
      <c r="N12" s="90" t="s">
        <v>263</v>
      </c>
      <c r="O12" s="90" t="s">
        <v>263</v>
      </c>
      <c r="P12" s="90" t="s">
        <v>263</v>
      </c>
      <c r="Q12" s="90" t="s">
        <v>263</v>
      </c>
      <c r="R12" s="90" t="s">
        <v>263</v>
      </c>
      <c r="S12" s="90">
        <f>285+2595</f>
        <v>2880</v>
      </c>
      <c r="T12" s="181"/>
    </row>
    <row r="13" spans="1:20" ht="15.75">
      <c r="A13" s="90">
        <v>6</v>
      </c>
      <c r="B13" s="125" t="s">
        <v>256</v>
      </c>
      <c r="C13" s="90" t="s">
        <v>191</v>
      </c>
      <c r="D13" s="90" t="s">
        <v>191</v>
      </c>
      <c r="E13" s="127">
        <f>12187/S13</f>
        <v>3.8874003189792665</v>
      </c>
      <c r="F13" s="127">
        <f>11969/S13</f>
        <v>3.8178628389154703</v>
      </c>
      <c r="G13" s="90" t="s">
        <v>191</v>
      </c>
      <c r="H13" s="90" t="s">
        <v>191</v>
      </c>
      <c r="I13" s="127">
        <f>3379/S13</f>
        <v>1.0778309409888358</v>
      </c>
      <c r="J13" s="127">
        <f>2887/S13</f>
        <v>0.92089314194577354</v>
      </c>
      <c r="K13" s="90" t="s">
        <v>263</v>
      </c>
      <c r="L13" s="90" t="s">
        <v>263</v>
      </c>
      <c r="M13" s="90" t="s">
        <v>263</v>
      </c>
      <c r="N13" s="90" t="s">
        <v>263</v>
      </c>
      <c r="O13" s="90" t="s">
        <v>263</v>
      </c>
      <c r="P13" s="90" t="s">
        <v>263</v>
      </c>
      <c r="Q13" s="90" t="s">
        <v>263</v>
      </c>
      <c r="R13" s="90" t="s">
        <v>263</v>
      </c>
      <c r="S13" s="67">
        <f>278+2857</f>
        <v>3135</v>
      </c>
      <c r="T13" s="181"/>
    </row>
    <row r="14" spans="1:20" ht="15.75">
      <c r="A14" s="90">
        <v>7</v>
      </c>
      <c r="B14" s="125" t="s">
        <v>257</v>
      </c>
      <c r="C14" s="90" t="s">
        <v>191</v>
      </c>
      <c r="D14" s="90" t="s">
        <v>191</v>
      </c>
      <c r="E14" s="127">
        <f>19482/S14</f>
        <v>10.6226826608506</v>
      </c>
      <c r="F14" s="127">
        <f>298.5/S14</f>
        <v>0.16275899672846239</v>
      </c>
      <c r="G14" s="90" t="s">
        <v>191</v>
      </c>
      <c r="H14" s="90" t="s">
        <v>191</v>
      </c>
      <c r="I14" s="127">
        <f>9604/S14</f>
        <v>5.2366412213740459</v>
      </c>
      <c r="J14" s="127">
        <f>86/S14</f>
        <v>4.6892039258451472E-2</v>
      </c>
      <c r="K14" s="90" t="s">
        <v>263</v>
      </c>
      <c r="L14" s="90" t="s">
        <v>263</v>
      </c>
      <c r="M14" s="90" t="s">
        <v>263</v>
      </c>
      <c r="N14" s="90" t="s">
        <v>263</v>
      </c>
      <c r="O14" s="90" t="s">
        <v>263</v>
      </c>
      <c r="P14" s="90" t="s">
        <v>263</v>
      </c>
      <c r="Q14" s="90" t="s">
        <v>263</v>
      </c>
      <c r="R14" s="90" t="s">
        <v>263</v>
      </c>
      <c r="S14" s="67">
        <f>255+1579</f>
        <v>1834</v>
      </c>
      <c r="T14" s="181"/>
    </row>
    <row r="15" spans="1:20" ht="15.75">
      <c r="A15" s="90">
        <v>8</v>
      </c>
      <c r="B15" s="125" t="s">
        <v>258</v>
      </c>
      <c r="C15" s="90" t="s">
        <v>191</v>
      </c>
      <c r="D15" s="90" t="s">
        <v>191</v>
      </c>
      <c r="E15" s="127">
        <f>4444/S15</f>
        <v>14.522875816993464</v>
      </c>
      <c r="F15" s="127">
        <f>207.8/S15</f>
        <v>0.67908496732026147</v>
      </c>
      <c r="G15" s="90" t="s">
        <v>191</v>
      </c>
      <c r="H15" s="90" t="s">
        <v>191</v>
      </c>
      <c r="I15" s="127">
        <f>748/S15</f>
        <v>2.4444444444444446</v>
      </c>
      <c r="J15" s="127">
        <f>69/S15</f>
        <v>0.22549019607843138</v>
      </c>
      <c r="K15" s="90" t="s">
        <v>263</v>
      </c>
      <c r="L15" s="90" t="s">
        <v>263</v>
      </c>
      <c r="M15" s="90" t="s">
        <v>263</v>
      </c>
      <c r="N15" s="90" t="s">
        <v>263</v>
      </c>
      <c r="O15" s="90" t="s">
        <v>263</v>
      </c>
      <c r="P15" s="90" t="s">
        <v>263</v>
      </c>
      <c r="Q15" s="90" t="s">
        <v>263</v>
      </c>
      <c r="R15" s="90" t="s">
        <v>263</v>
      </c>
      <c r="S15" s="67">
        <v>306</v>
      </c>
      <c r="T15" s="181"/>
    </row>
    <row r="16" spans="1:20" ht="15.75">
      <c r="A16" s="90">
        <v>9</v>
      </c>
      <c r="B16" s="125" t="s">
        <v>259</v>
      </c>
      <c r="C16" s="90" t="s">
        <v>191</v>
      </c>
      <c r="D16" s="90" t="s">
        <v>191</v>
      </c>
      <c r="E16" s="127">
        <f>1848/S16</f>
        <v>9.1485148514851478</v>
      </c>
      <c r="F16" s="127">
        <f>1110/S16</f>
        <v>5.4950495049504955</v>
      </c>
      <c r="G16" s="90" t="s">
        <v>191</v>
      </c>
      <c r="H16" s="90" t="s">
        <v>191</v>
      </c>
      <c r="I16" s="127">
        <f>387/S16</f>
        <v>1.9158415841584158</v>
      </c>
      <c r="J16" s="127">
        <f>331/S16</f>
        <v>1.6386138613861385</v>
      </c>
      <c r="K16" s="90" t="s">
        <v>263</v>
      </c>
      <c r="L16" s="90" t="s">
        <v>263</v>
      </c>
      <c r="M16" s="90" t="s">
        <v>263</v>
      </c>
      <c r="N16" s="90" t="s">
        <v>263</v>
      </c>
      <c r="O16" s="90" t="s">
        <v>263</v>
      </c>
      <c r="P16" s="90" t="s">
        <v>263</v>
      </c>
      <c r="Q16" s="90" t="s">
        <v>263</v>
      </c>
      <c r="R16" s="90" t="s">
        <v>263</v>
      </c>
      <c r="S16" s="67">
        <f>14+188</f>
        <v>202</v>
      </c>
      <c r="T16" s="181"/>
    </row>
    <row r="17" spans="1:20" ht="15.75">
      <c r="A17" s="90">
        <v>10</v>
      </c>
      <c r="B17" s="125" t="s">
        <v>260</v>
      </c>
      <c r="C17" s="90" t="s">
        <v>191</v>
      </c>
      <c r="D17" s="90" t="s">
        <v>191</v>
      </c>
      <c r="E17" s="127">
        <f>60.75/S17</f>
        <v>1.3806818181818181</v>
      </c>
      <c r="F17" s="127">
        <f>392.77/S17</f>
        <v>8.9265909090909084</v>
      </c>
      <c r="G17" s="90" t="s">
        <v>191</v>
      </c>
      <c r="H17" s="90" t="s">
        <v>191</v>
      </c>
      <c r="I17" s="127">
        <f>9/S17</f>
        <v>0.20454545454545456</v>
      </c>
      <c r="J17" s="127">
        <f>116/S17</f>
        <v>2.6363636363636362</v>
      </c>
      <c r="K17" s="90" t="s">
        <v>263</v>
      </c>
      <c r="L17" s="90" t="s">
        <v>263</v>
      </c>
      <c r="M17" s="90" t="s">
        <v>263</v>
      </c>
      <c r="N17" s="90" t="s">
        <v>263</v>
      </c>
      <c r="O17" s="90" t="s">
        <v>263</v>
      </c>
      <c r="P17" s="90" t="s">
        <v>263</v>
      </c>
      <c r="Q17" s="90" t="s">
        <v>263</v>
      </c>
      <c r="R17" s="90" t="s">
        <v>263</v>
      </c>
      <c r="S17" s="67">
        <f>44</f>
        <v>44</v>
      </c>
      <c r="T17" s="181"/>
    </row>
    <row r="18" spans="1:20" ht="15.75">
      <c r="A18" s="90">
        <v>11</v>
      </c>
      <c r="B18" s="125" t="s">
        <v>261</v>
      </c>
      <c r="C18" s="90" t="s">
        <v>191</v>
      </c>
      <c r="D18" s="90" t="s">
        <v>191</v>
      </c>
      <c r="E18" s="127">
        <f>804.87/S18</f>
        <v>0.35270376862401404</v>
      </c>
      <c r="F18" s="127">
        <f>11572/S18</f>
        <v>5.0709903593339174</v>
      </c>
      <c r="G18" s="90" t="s">
        <v>191</v>
      </c>
      <c r="H18" s="90" t="s">
        <v>191</v>
      </c>
      <c r="I18" s="127">
        <f>183/S18</f>
        <v>8.0192813321647682E-2</v>
      </c>
      <c r="J18" s="127">
        <f>2116/S18</f>
        <v>0.92725679228746716</v>
      </c>
      <c r="K18" s="90" t="s">
        <v>263</v>
      </c>
      <c r="L18" s="90" t="s">
        <v>263</v>
      </c>
      <c r="M18" s="90" t="s">
        <v>263</v>
      </c>
      <c r="N18" s="90" t="s">
        <v>263</v>
      </c>
      <c r="O18" s="90" t="s">
        <v>263</v>
      </c>
      <c r="P18" s="90" t="s">
        <v>263</v>
      </c>
      <c r="Q18" s="90" t="s">
        <v>263</v>
      </c>
      <c r="R18" s="90" t="s">
        <v>263</v>
      </c>
      <c r="S18" s="67">
        <v>2282</v>
      </c>
      <c r="T18" s="181"/>
    </row>
    <row r="19" spans="1:20" ht="15.75">
      <c r="A19" s="90">
        <v>12</v>
      </c>
      <c r="B19" s="125" t="s">
        <v>262</v>
      </c>
      <c r="C19" s="90" t="s">
        <v>191</v>
      </c>
      <c r="D19" s="90" t="s">
        <v>191</v>
      </c>
      <c r="E19" s="127">
        <f>320/S19</f>
        <v>0.82687338501291985</v>
      </c>
      <c r="F19" s="127">
        <f>58.17/S19</f>
        <v>0.15031007751937986</v>
      </c>
      <c r="G19" s="90" t="s">
        <v>191</v>
      </c>
      <c r="H19" s="90" t="s">
        <v>191</v>
      </c>
      <c r="I19" s="127">
        <f>148/S19</f>
        <v>0.38242894056847543</v>
      </c>
      <c r="J19" s="127">
        <f>49/S19</f>
        <v>0.12661498708010335</v>
      </c>
      <c r="K19" s="90" t="s">
        <v>263</v>
      </c>
      <c r="L19" s="90" t="s">
        <v>263</v>
      </c>
      <c r="M19" s="90" t="s">
        <v>263</v>
      </c>
      <c r="N19" s="90" t="s">
        <v>263</v>
      </c>
      <c r="O19" s="90" t="s">
        <v>263</v>
      </c>
      <c r="P19" s="90" t="s">
        <v>263</v>
      </c>
      <c r="Q19" s="90" t="s">
        <v>263</v>
      </c>
      <c r="R19" s="90" t="s">
        <v>263</v>
      </c>
      <c r="S19" s="67">
        <f>21+366</f>
        <v>387</v>
      </c>
      <c r="T19" s="181"/>
    </row>
    <row r="20" spans="1:20">
      <c r="A20" s="182" t="s">
        <v>17</v>
      </c>
      <c r="B20" s="182"/>
      <c r="C20" s="82"/>
      <c r="D20" s="82"/>
      <c r="E20" s="127">
        <v>6.378784098469727</v>
      </c>
      <c r="F20" s="127">
        <v>3.3888888888888888</v>
      </c>
      <c r="G20" s="82"/>
      <c r="H20" s="82"/>
      <c r="I20" s="128">
        <v>2.2239271457085827</v>
      </c>
      <c r="J20" s="128">
        <v>1.2072105788423153</v>
      </c>
      <c r="K20" s="90" t="s">
        <v>263</v>
      </c>
      <c r="L20" s="90" t="s">
        <v>263</v>
      </c>
      <c r="M20" s="90" t="s">
        <v>263</v>
      </c>
      <c r="N20" s="90" t="s">
        <v>263</v>
      </c>
      <c r="O20" s="90" t="s">
        <v>263</v>
      </c>
      <c r="P20" s="90" t="s">
        <v>263</v>
      </c>
      <c r="Q20" s="90" t="s">
        <v>263</v>
      </c>
      <c r="R20" s="90" t="s">
        <v>263</v>
      </c>
      <c r="S20" s="67">
        <v>24048</v>
      </c>
    </row>
  </sheetData>
  <mergeCells count="11">
    <mergeCell ref="T8:T19"/>
    <mergeCell ref="A20:B20"/>
    <mergeCell ref="S4:S6"/>
    <mergeCell ref="T4:T6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5"/>
  <sheetViews>
    <sheetView zoomScaleNormal="100" zoomScaleSheetLayoutView="115" workbookViewId="0">
      <selection activeCell="A8" sqref="A8"/>
    </sheetView>
  </sheetViews>
  <sheetFormatPr defaultColWidth="9.140625" defaultRowHeight="15"/>
  <cols>
    <col min="1" max="1" width="137.28515625" style="2" customWidth="1"/>
    <col min="2" max="16384" width="9.140625" style="2"/>
  </cols>
  <sheetData>
    <row r="1" spans="1:1" ht="41.25" customHeight="1">
      <c r="A1" s="64" t="s">
        <v>178</v>
      </c>
    </row>
    <row r="2" spans="1:1">
      <c r="A2" s="122" t="s">
        <v>248</v>
      </c>
    </row>
    <row r="3" spans="1:1">
      <c r="A3" s="123" t="s">
        <v>249</v>
      </c>
    </row>
    <row r="4" spans="1:1">
      <c r="A4" s="123" t="s">
        <v>251</v>
      </c>
    </row>
    <row r="5" spans="1:1">
      <c r="A5" s="12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7"/>
  <sheetViews>
    <sheetView zoomScaleNormal="100" zoomScaleSheetLayoutView="100" workbookViewId="0">
      <selection activeCell="D31" sqref="D31"/>
    </sheetView>
  </sheetViews>
  <sheetFormatPr defaultColWidth="9.140625" defaultRowHeight="15"/>
  <cols>
    <col min="1" max="1" width="55.42578125" style="2" customWidth="1"/>
    <col min="2" max="2" width="26.7109375" style="2" customWidth="1"/>
    <col min="3" max="16384" width="9.140625" style="2"/>
  </cols>
  <sheetData>
    <row r="1" spans="1:2" ht="15.75">
      <c r="A1" s="65" t="s">
        <v>167</v>
      </c>
    </row>
    <row r="3" spans="1:2" ht="47.25" customHeight="1">
      <c r="A3" s="183" t="s">
        <v>265</v>
      </c>
      <c r="B3" s="183"/>
    </row>
    <row r="4" spans="1:2">
      <c r="A4" s="184" t="s">
        <v>266</v>
      </c>
      <c r="B4" s="185"/>
    </row>
    <row r="5" spans="1:2">
      <c r="A5" s="129"/>
      <c r="B5" s="130"/>
    </row>
    <row r="6" spans="1:2">
      <c r="A6" s="129"/>
      <c r="B6" s="130"/>
    </row>
    <row r="7" spans="1:2">
      <c r="A7" s="131"/>
      <c r="B7" s="131"/>
    </row>
  </sheetData>
  <mergeCells count="2">
    <mergeCell ref="A3:B3"/>
    <mergeCell ref="A4:B4"/>
  </mergeCells>
  <phoneticPr fontId="1" type="noConversion"/>
  <hyperlinks>
    <hyperlink ref="A4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16</vt:i4>
      </vt:variant>
    </vt:vector>
  </HeadingPairs>
  <TitlesOfParts>
    <vt:vector size="37" baseType="lpstr">
      <vt:lpstr>1.1</vt:lpstr>
      <vt:lpstr>1.2</vt:lpstr>
      <vt:lpstr>1.2-</vt:lpstr>
      <vt:lpstr>1.3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'1.2'!Область_печати</vt:lpstr>
      <vt:lpstr>'1.2-'!Область_печати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'3.4'!Область_печати</vt:lpstr>
      <vt:lpstr>'3.5'!Область_печати</vt:lpstr>
      <vt:lpstr>'4.1'!Область_печати</vt:lpstr>
      <vt:lpstr>'4.2'!Область_печати</vt:lpstr>
      <vt:lpstr>'4.7'!Область_печати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User</cp:lastModifiedBy>
  <cp:lastPrinted>2017-04-12T09:34:21Z</cp:lastPrinted>
  <dcterms:created xsi:type="dcterms:W3CDTF">2015-07-15T07:48:26Z</dcterms:created>
  <dcterms:modified xsi:type="dcterms:W3CDTF">2017-03-29T03:48:10Z</dcterms:modified>
</cp:coreProperties>
</file>