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rg">[1]Титульный!$G$15</definedName>
    <definedName name="ва">[2]Титульный!$G$15</definedName>
  </definedNames>
  <calcPr calcId="125725"/>
</workbook>
</file>

<file path=xl/calcChain.xml><?xml version="1.0" encoding="utf-8"?>
<calcChain xmlns="http://schemas.openxmlformats.org/spreadsheetml/2006/main">
  <c r="C9" i="3"/>
  <c r="D174"/>
  <c r="G170"/>
  <c r="H170" s="1"/>
  <c r="H169"/>
  <c r="G169"/>
  <c r="F168"/>
  <c r="F166" s="1"/>
  <c r="E168"/>
  <c r="E166" s="1"/>
  <c r="D167"/>
  <c r="D165"/>
  <c r="D164"/>
  <c r="D163"/>
  <c r="H162"/>
  <c r="G162"/>
  <c r="F162"/>
  <c r="E162"/>
  <c r="D161"/>
  <c r="D160"/>
  <c r="H159"/>
  <c r="H157" s="1"/>
  <c r="H156" s="1"/>
  <c r="G159"/>
  <c r="G157" s="1"/>
  <c r="F159"/>
  <c r="E159"/>
  <c r="E157" s="1"/>
  <c r="D158"/>
  <c r="D155"/>
  <c r="D154"/>
  <c r="D153"/>
  <c r="H152"/>
  <c r="H150" s="1"/>
  <c r="G152"/>
  <c r="F152"/>
  <c r="E152"/>
  <c r="E150" s="1"/>
  <c r="D151"/>
  <c r="G150"/>
  <c r="F150"/>
  <c r="H147"/>
  <c r="G147"/>
  <c r="F146"/>
  <c r="E146"/>
  <c r="E144" s="1"/>
  <c r="D145"/>
  <c r="D143"/>
  <c r="D142"/>
  <c r="D141"/>
  <c r="H140"/>
  <c r="G140"/>
  <c r="F140"/>
  <c r="E140"/>
  <c r="H139"/>
  <c r="D139" s="1"/>
  <c r="D138"/>
  <c r="H137"/>
  <c r="D137" s="1"/>
  <c r="H136"/>
  <c r="D136" s="1"/>
  <c r="D135"/>
  <c r="F133"/>
  <c r="E133"/>
  <c r="D132"/>
  <c r="D131"/>
  <c r="H130"/>
  <c r="G130"/>
  <c r="F130"/>
  <c r="E130"/>
  <c r="D129"/>
  <c r="D128"/>
  <c r="H127"/>
  <c r="G127"/>
  <c r="F127"/>
  <c r="E127"/>
  <c r="D122"/>
  <c r="D121"/>
  <c r="D120"/>
  <c r="H119"/>
  <c r="H117" s="1"/>
  <c r="G119"/>
  <c r="G117" s="1"/>
  <c r="F119"/>
  <c r="E119"/>
  <c r="E117" s="1"/>
  <c r="D118"/>
  <c r="D115"/>
  <c r="D114"/>
  <c r="D113"/>
  <c r="D108"/>
  <c r="F107"/>
  <c r="F110" s="1"/>
  <c r="D106"/>
  <c r="D105"/>
  <c r="F96"/>
  <c r="F90" s="1"/>
  <c r="E96"/>
  <c r="D95"/>
  <c r="D92"/>
  <c r="D91"/>
  <c r="D89"/>
  <c r="D88"/>
  <c r="D86"/>
  <c r="G84"/>
  <c r="F84"/>
  <c r="E84"/>
  <c r="F76"/>
  <c r="F70"/>
  <c r="E70"/>
  <c r="H67"/>
  <c r="G67"/>
  <c r="F67"/>
  <c r="E67"/>
  <c r="D66"/>
  <c r="H59"/>
  <c r="H57" s="1"/>
  <c r="G59"/>
  <c r="G109" s="1"/>
  <c r="E59"/>
  <c r="E109" s="1"/>
  <c r="D58"/>
  <c r="F57"/>
  <c r="F60" s="1"/>
  <c r="D56"/>
  <c r="D55"/>
  <c r="H103"/>
  <c r="G53"/>
  <c r="D53" s="1"/>
  <c r="G51"/>
  <c r="G101" s="1"/>
  <c r="D101" s="1"/>
  <c r="H50"/>
  <c r="D50" s="1"/>
  <c r="H49"/>
  <c r="H99" s="1"/>
  <c r="G49"/>
  <c r="G99" s="1"/>
  <c r="H48"/>
  <c r="H98" s="1"/>
  <c r="G48"/>
  <c r="F46"/>
  <c r="E46"/>
  <c r="D45"/>
  <c r="H44"/>
  <c r="H94" s="1"/>
  <c r="H93" s="1"/>
  <c r="G44"/>
  <c r="G94" s="1"/>
  <c r="G93" s="1"/>
  <c r="E44"/>
  <c r="D42"/>
  <c r="D41"/>
  <c r="F40"/>
  <c r="D39"/>
  <c r="D38"/>
  <c r="D36"/>
  <c r="G34"/>
  <c r="F34"/>
  <c r="E34"/>
  <c r="E32"/>
  <c r="E82" s="1"/>
  <c r="D82" s="1"/>
  <c r="G31"/>
  <c r="G81" s="1"/>
  <c r="E31"/>
  <c r="H30"/>
  <c r="H80" s="1"/>
  <c r="D80" s="1"/>
  <c r="G29"/>
  <c r="D29" s="1"/>
  <c r="H28"/>
  <c r="G28"/>
  <c r="G78" s="1"/>
  <c r="F26"/>
  <c r="H24"/>
  <c r="H74" s="1"/>
  <c r="G23"/>
  <c r="D23" s="1"/>
  <c r="G22"/>
  <c r="F20"/>
  <c r="E20"/>
  <c r="H17"/>
  <c r="G17"/>
  <c r="F17"/>
  <c r="F15" s="1"/>
  <c r="E17"/>
  <c r="D16"/>
  <c r="H26" l="1"/>
  <c r="D169"/>
  <c r="F63"/>
  <c r="E26"/>
  <c r="E15" s="1"/>
  <c r="D44"/>
  <c r="D99"/>
  <c r="E57"/>
  <c r="E60" s="1"/>
  <c r="G57"/>
  <c r="G107" s="1"/>
  <c r="G110" s="1"/>
  <c r="D140"/>
  <c r="D119"/>
  <c r="E126"/>
  <c r="E124" s="1"/>
  <c r="E123" s="1"/>
  <c r="F117"/>
  <c r="D117" s="1"/>
  <c r="G43"/>
  <c r="G125" s="1"/>
  <c r="G26"/>
  <c r="H46"/>
  <c r="G20"/>
  <c r="D32"/>
  <c r="H43"/>
  <c r="H125" s="1"/>
  <c r="G46"/>
  <c r="D46" s="1"/>
  <c r="F65"/>
  <c r="F111" s="1"/>
  <c r="D127"/>
  <c r="D150"/>
  <c r="D162"/>
  <c r="D17"/>
  <c r="D31"/>
  <c r="D49"/>
  <c r="D147"/>
  <c r="D159"/>
  <c r="D130"/>
  <c r="G156"/>
  <c r="H107"/>
  <c r="H60"/>
  <c r="H168"/>
  <c r="H166" s="1"/>
  <c r="D74"/>
  <c r="H70"/>
  <c r="E156"/>
  <c r="G73"/>
  <c r="D73" s="1"/>
  <c r="G79"/>
  <c r="D79" s="1"/>
  <c r="E81"/>
  <c r="E94"/>
  <c r="H100"/>
  <c r="D100" s="1"/>
  <c r="G103"/>
  <c r="D103" s="1"/>
  <c r="H109"/>
  <c r="D109" s="1"/>
  <c r="D22"/>
  <c r="D24"/>
  <c r="D30"/>
  <c r="D48"/>
  <c r="D51"/>
  <c r="D59"/>
  <c r="D67"/>
  <c r="F126"/>
  <c r="F124" s="1"/>
  <c r="F123" s="1"/>
  <c r="H134"/>
  <c r="H133" s="1"/>
  <c r="H126" s="1"/>
  <c r="D152"/>
  <c r="D170"/>
  <c r="H20"/>
  <c r="H15" s="1"/>
  <c r="D28"/>
  <c r="G72"/>
  <c r="H78"/>
  <c r="H76" s="1"/>
  <c r="G98"/>
  <c r="G134"/>
  <c r="F144"/>
  <c r="F157"/>
  <c r="F156" s="1"/>
  <c r="G168"/>
  <c r="G166" s="1"/>
  <c r="E43"/>
  <c r="D26" l="1"/>
  <c r="H65"/>
  <c r="G60"/>
  <c r="D60" s="1"/>
  <c r="D57"/>
  <c r="E107"/>
  <c r="D107" s="1"/>
  <c r="G15"/>
  <c r="D15" s="1"/>
  <c r="G40"/>
  <c r="G148" s="1"/>
  <c r="G146" s="1"/>
  <c r="G144" s="1"/>
  <c r="D166"/>
  <c r="H40"/>
  <c r="H148" s="1"/>
  <c r="D168"/>
  <c r="D98"/>
  <c r="G96"/>
  <c r="H124"/>
  <c r="H123" s="1"/>
  <c r="D156"/>
  <c r="D78"/>
  <c r="D20"/>
  <c r="H96"/>
  <c r="H90" s="1"/>
  <c r="H110"/>
  <c r="D43"/>
  <c r="E40"/>
  <c r="D134"/>
  <c r="G133"/>
  <c r="D125"/>
  <c r="D72"/>
  <c r="G70"/>
  <c r="D81"/>
  <c r="E76"/>
  <c r="D94"/>
  <c r="E93"/>
  <c r="D157"/>
  <c r="G76"/>
  <c r="E110" l="1"/>
  <c r="D110" s="1"/>
  <c r="H37"/>
  <c r="H146"/>
  <c r="D148"/>
  <c r="E90"/>
  <c r="D93"/>
  <c r="D76"/>
  <c r="E65"/>
  <c r="D70"/>
  <c r="G65"/>
  <c r="D133"/>
  <c r="G126"/>
  <c r="D40"/>
  <c r="H35"/>
  <c r="D96"/>
  <c r="G90"/>
  <c r="G54" l="1"/>
  <c r="G63" s="1"/>
  <c r="D37"/>
  <c r="H87"/>
  <c r="H144"/>
  <c r="D144" s="1"/>
  <c r="D146"/>
  <c r="D90"/>
  <c r="E54"/>
  <c r="H34"/>
  <c r="H85"/>
  <c r="D35"/>
  <c r="D126"/>
  <c r="G124"/>
  <c r="D65"/>
  <c r="D87" l="1"/>
  <c r="G104"/>
  <c r="G111" s="1"/>
  <c r="D54"/>
  <c r="E63"/>
  <c r="G123"/>
  <c r="D123" s="1"/>
  <c r="D124"/>
  <c r="D34"/>
  <c r="H63"/>
  <c r="D85"/>
  <c r="E104"/>
  <c r="H84"/>
  <c r="D104" l="1"/>
  <c r="E111"/>
  <c r="D84"/>
  <c r="H111"/>
  <c r="D63"/>
  <c r="D111" l="1"/>
</calcChain>
</file>

<file path=xl/sharedStrings.xml><?xml version="1.0" encoding="utf-8"?>
<sst xmlns="http://schemas.openxmlformats.org/spreadsheetml/2006/main" count="161" uniqueCount="88">
  <si>
    <t>L1.1</t>
  </si>
  <si>
    <t>L1.2</t>
  </si>
  <si>
    <t>L2</t>
  </si>
  <si>
    <t>L2.1</t>
  </si>
  <si>
    <t>L2.2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</si>
  <si>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</si>
  <si>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</si>
  <si>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</si>
  <si>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</si>
  <si>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</si>
  <si>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</si>
  <si>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</si>
  <si>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</si>
  <si>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</si>
  <si>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</si>
  <si>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Добавить организацию</t>
  </si>
  <si>
    <t>от несетевых организаций:</t>
  </si>
  <si>
    <t>ОБЩЕСТВО С ОГРАНИЧЕННОЙ ОТВЕТСТВЕННОСТЬЮ "РЕАЛ ЭСТЕЙТ МЕНЕДЖМЕНТ"</t>
  </si>
  <si>
    <t>ОБЩЕСТВО С ОГРАНИЧЕННОЙ ОТВЕТСТВЕННОСТЬЮ "НУГУШСКИЙ ГИДРОТЕХНИЧЕСКИЙ УЗЕЛ"</t>
  </si>
  <si>
    <t>ФЕДЕРАЛЬНОЕ ГОСУДАРСТВЕННОЕ БЮДЖЕТНОЕ УЧРЕЖДЕНИЕ САНАТОРИЙ "ГЛУХОВСКАЯ" МИНИСТЕРСТВА ЗДРАВООХРАНЕНИЯ РОССИЙСКОЙ ФЕДЕРАЦИИ</t>
  </si>
  <si>
    <t>от смежных сетевых организаций:</t>
  </si>
  <si>
    <t>ООО "Башкирские распределительные электрические сети"</t>
  </si>
  <si>
    <t>ООО "Аскинские электрические сети"</t>
  </si>
  <si>
    <t>ООО «ГИП-Энерго»</t>
  </si>
  <si>
    <t>АО «Электросеть»</t>
  </si>
  <si>
    <t>Поступление в сеть из других уровней напряжения (трансформация)</t>
  </si>
  <si>
    <t xml:space="preserve">НН </t>
  </si>
  <si>
    <t>Генерация на установках организации (совмещение деятельности)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</si>
  <si>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</si>
  <si>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</si>
  <si>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потребителям, опосредованно подключенным к шинам генераторов</t>
  </si>
  <si>
    <t>потребителям ГП, ЭСО, ЭСК, в том числе:</t>
  </si>
  <si>
    <t>прочим потребителям, в том числе:</t>
  </si>
  <si>
    <t>смежным сетевым организациям:</t>
  </si>
  <si>
    <t>МУП "Белорецкие городские электрические сети"</t>
  </si>
  <si>
    <t>населению и приравненным к нему категориям</t>
  </si>
  <si>
    <t>Отпуск в сеть других уровней напряжения</t>
  </si>
  <si>
    <t>Хозяйственные нужды организации</t>
  </si>
  <si>
    <t>Собственное потребление (совмещение деятельности)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</si>
  <si>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</si>
  <si>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</si>
  <si>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Нормативные потери (объемы потерь учтенные в сводном прогнозном балансе)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</si>
  <si>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</si>
  <si>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Небаланс</t>
  </si>
  <si>
    <t>относимые на собственное потребление</t>
  </si>
  <si>
    <t>Заявленная мощность</t>
  </si>
  <si>
    <t>Максимальная мощность</t>
  </si>
  <si>
    <t>Резервируемая мощность</t>
  </si>
  <si>
    <t>Полезный отпуск конечным потребителям (тыс. кВт ч):</t>
  </si>
  <si>
    <t>по одноставочному тарифу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</si>
  <si>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</si>
  <si>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</si>
  <si>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</si>
  <si>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компенсация потерь (тыс. кВт ч)</t>
  </si>
  <si>
    <t>Полезный отпуск потребителям ГП, ЭСО (тыс. кВт ч):</t>
  </si>
  <si>
    <t>по одноставочному тарифу:</t>
  </si>
  <si>
    <t>прочим потребителям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</si>
  <si>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</si>
  <si>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</si>
  <si>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в пределах социальной нормы потребления</t>
  </si>
  <si>
    <t>сверх социальной нормы потребления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</si>
  <si>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</si>
  <si>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</si>
  <si>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Садоводческим, огородническим или дачным некоммерческим объединениям граждан</t>
  </si>
  <si>
    <t>Религиозным организациям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</si>
  <si>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</si>
  <si>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</si>
  <si>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</si>
  <si>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</si>
  <si>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</si>
  <si>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мощность (МВт)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</si>
  <si>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</si>
  <si>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</si>
  <si>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</si>
  <si>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компенсация потерь</t>
  </si>
  <si>
    <t>Стоимость услуг, оплачиваемая ГП, ЭСО:</t>
  </si>
  <si>
    <t xml:space="preserve">сверх социальной нормы потребления </t>
  </si>
  <si>
    <t>Стоимость услуг, оплачиваемых сетевыми организациями по индивидуальному тарифу:</t>
  </si>
  <si>
    <t>мощность</t>
  </si>
  <si>
    <t>Затраты на покупку потерь (тыс руб)</t>
  </si>
  <si>
    <t>то же в относительном выражении, %</t>
  </si>
  <si>
    <t>Акционерное общество "Башкирские Электрические сети"</t>
  </si>
  <si>
    <t>L4.2</t>
  </si>
  <si>
    <t>По договору № 092400012 с ООО "Башэлектросбыт", с НДС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</si>
  <si>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</si>
  <si>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L3</t>
  </si>
  <si>
    <t>ГУП «Региональные электрические сети» Республики Башкортостан</t>
  </si>
  <si>
    <t>Норматив потерь, утвержденный постановлением № 800 от 29.12.2020 г. ГКТ РБ, млн кВт*ч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</si>
</sst>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6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2" fillId="0" borderId="1" xfId="4" applyFont="1" applyFill="1" applyBorder="1" applyAlignment="1" applyProtection="1">
      <alignment horizontal="left" vertical="center" wrapText="1" indent="1"/>
    </xf>
    <xf numFmtId="165" fontId="2" fillId="0" borderId="1" xfId="4" applyNumberFormat="1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left" vertical="center" indent="1"/>
    </xf>
    <xf numFmtId="0" fontId="7" fillId="6" borderId="7" xfId="0" applyFont="1" applyFill="1" applyBorder="1" applyAlignment="1" applyProtection="1">
      <alignment horizontal="center" vertical="top"/>
    </xf>
    <xf numFmtId="0" fontId="7" fillId="6" borderId="8" xfId="0" applyFont="1" applyFill="1" applyBorder="1" applyAlignment="1" applyProtection="1">
      <alignment horizontal="center" vertical="top"/>
    </xf>
    <xf numFmtId="0" fontId="0" fillId="7" borderId="6" xfId="6" applyNumberFormat="1" applyFont="1" applyFill="1" applyBorder="1" applyAlignment="1" applyProtection="1">
      <alignment horizontal="left" vertical="center" wrapText="1" indent="2"/>
    </xf>
    <xf numFmtId="164" fontId="2" fillId="4" borderId="5" xfId="4" applyNumberFormat="1" applyFont="1" applyFill="1" applyBorder="1" applyAlignment="1" applyProtection="1">
      <alignment horizontal="right" vertical="center"/>
    </xf>
    <xf numFmtId="164" fontId="2" fillId="5" borderId="5" xfId="4" applyNumberFormat="1" applyFont="1" applyFill="1" applyBorder="1" applyAlignment="1" applyProtection="1">
      <alignment horizontal="right" vertical="center"/>
      <protection locked="0"/>
    </xf>
    <xf numFmtId="164" fontId="2" fillId="5" borderId="6" xfId="4" applyNumberFormat="1" applyFont="1" applyFill="1" applyBorder="1" applyAlignment="1" applyProtection="1">
      <alignment horizontal="right" vertical="center"/>
      <protection locked="0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7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164" fontId="2" fillId="5" borderId="4" xfId="7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49" fontId="2" fillId="0" borderId="9" xfId="4" applyFont="1" applyBorder="1" applyAlignment="1">
      <alignment vertical="center" wrapText="1"/>
    </xf>
    <xf numFmtId="165" fontId="2" fillId="4" borderId="9" xfId="4" applyNumberFormat="1" applyFont="1" applyFill="1" applyBorder="1" applyAlignment="1" applyProtection="1">
      <alignment horizontal="right" vertical="center"/>
    </xf>
    <xf numFmtId="165" fontId="2" fillId="8" borderId="9" xfId="1" applyNumberFormat="1" applyFont="1" applyFill="1" applyBorder="1" applyAlignment="1" applyProtection="1">
      <alignment horizontal="right" vertical="center" wrapText="1"/>
      <protection locked="0"/>
    </xf>
    <xf numFmtId="0" fontId="5" fillId="9" borderId="10" xfId="8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0" fontId="2" fillId="0" borderId="5" xfId="5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49" fontId="2" fillId="0" borderId="0" xfId="4" applyFont="1" applyBorder="1" applyAlignment="1">
      <alignment horizontal="center"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8" xfId="4" applyFont="1" applyFill="1" applyBorder="1" applyAlignment="1">
      <alignment horizontal="center" vertical="center"/>
    </xf>
    <xf numFmtId="0" fontId="2" fillId="0" borderId="11" xfId="1" applyFont="1" applyBorder="1" applyAlignment="1" applyProtection="1">
      <alignment vertical="center"/>
    </xf>
    <xf numFmtId="49" fontId="2" fillId="0" borderId="11" xfId="4" applyFont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</cellXfs>
  <cellStyles count="9">
    <cellStyle name="Обычный" xfId="0" builtinId="0"/>
    <cellStyle name="Обычный 10" xfId="4"/>
    <cellStyle name="Обычный_FORM3.1" xfId="8"/>
    <cellStyle name="Обычный_ЖКУ_проект3" xfId="6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7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91;&#1096;&#1072;&#1085;%20&#1089;%20&#1082;&#1086;&#1084;&#1087;&#1072;/&#1056;&#1072;&#1091;&#1096;&#1072;&#1085;/&#1044;&#1086;&#1082;&#1091;&#1084;&#1077;&#1085;&#1090;&#1099;/&#1043;&#1048;&#1055;-&#1069;&#1051;&#1045;&#1050;&#1058;&#1056;&#1054;/46/2019/46EP.STX(v1.0)%20&#1043;&#1086;&#1076;&#1086;&#1074;&#1086;&#1081;%202019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.46EP.STX(v1.0)%20-%20&#1072;&#1074;&#1075;&#1091;&#1089;&#1090;%20202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9.46EP.STX(v1.0)%20-%20&#1089;&#1077;&#1085;&#1090;&#1103;&#1073;&#1088;&#1100;%20202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0.46EP.STX(v1.0)%20-%20&#1086;&#1082;&#1090;&#1103;&#1073;&#1088;&#1100;%202021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1.46EP.STX(v1.0)%20-%20&#1085;&#1086;&#1103;&#1073;&#1088;&#1100;%2020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91;&#1096;&#1072;&#1085;%20&#1089;%20&#1082;&#1086;&#1084;&#1087;&#1072;/&#1056;&#1072;&#1091;&#1096;&#1072;&#1085;/&#1044;&#1086;&#1082;&#1091;&#1084;&#1077;&#1085;&#1090;&#1099;/&#1044;&#1083;&#1103;%20&#1089;&#1072;&#1081;&#1090;&#1072;/2019/!.46EP.STX(v1.0)%20-2018%20&#1075;&#1086;&#1076;%2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46EP.STX(v1.0)%20-%20&#1103;&#1085;&#1074;&#1072;&#1088;&#1100;%202021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46EP.STX(v1.0)%20-%20&#1092;&#1077;&#1074;&#1088;&#1072;&#1083;&#1100;%202021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46EP.STX(v1.0)%20-%20&#1084;&#1072;&#1088;&#1090;%202021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.46EP.STX(v1.0)%20-%20&#1072;&#1087;&#1088;&#1077;&#1083;&#1100;%202021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.46EP.STX(v1.0)%20-%20&#1084;&#1072;&#1081;%202021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.46EP.STX(v1.0)%20-%20&#1080;&#1102;&#1085;&#1100;%202021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.46EP.STX(v1.0)%20-%20&#1080;&#1102;&#1083;&#1100;%20202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"ГИП-Электро"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16.936</v>
          </cell>
        </row>
        <row r="23">
          <cell r="J23">
            <v>281.44900000000001</v>
          </cell>
        </row>
        <row r="24">
          <cell r="K24">
            <v>14.868</v>
          </cell>
        </row>
        <row r="28">
          <cell r="J28">
            <v>13182.159</v>
          </cell>
          <cell r="K28">
            <v>41.46</v>
          </cell>
        </row>
        <row r="29">
          <cell r="J29">
            <v>56.76</v>
          </cell>
        </row>
        <row r="30">
          <cell r="K30">
            <v>1.5840000000000001</v>
          </cell>
        </row>
        <row r="31">
          <cell r="H31">
            <v>1706.7339999999999</v>
          </cell>
          <cell r="J31">
            <v>47.34</v>
          </cell>
        </row>
        <row r="32">
          <cell r="H32">
            <v>796.5</v>
          </cell>
        </row>
        <row r="44">
          <cell r="H44">
            <v>2377.902</v>
          </cell>
          <cell r="J44">
            <v>2841.0129999999999</v>
          </cell>
          <cell r="K44">
            <v>2568.3890000000001</v>
          </cell>
        </row>
        <row r="48">
          <cell r="J48">
            <v>172.72</v>
          </cell>
          <cell r="K48">
            <v>35.246000000000002</v>
          </cell>
        </row>
        <row r="49">
          <cell r="J49">
            <v>81.028000000000006</v>
          </cell>
          <cell r="K49">
            <v>10.651999999999999</v>
          </cell>
        </row>
        <row r="50">
          <cell r="K50">
            <v>12.725</v>
          </cell>
        </row>
        <row r="51">
          <cell r="J51">
            <v>1.3460000000000001</v>
          </cell>
        </row>
        <row r="53">
          <cell r="J53">
            <v>7.6</v>
          </cell>
        </row>
        <row r="59">
          <cell r="H59">
            <v>112.607</v>
          </cell>
          <cell r="J59">
            <v>904.53499999999997</v>
          </cell>
          <cell r="K59">
            <v>280.35599999999999</v>
          </cell>
        </row>
        <row r="134">
          <cell r="K134">
            <v>7.4980000000000002</v>
          </cell>
        </row>
        <row r="135">
          <cell r="K135">
            <v>4.8209999999999997</v>
          </cell>
        </row>
        <row r="137">
          <cell r="K137">
            <v>3.43</v>
          </cell>
        </row>
        <row r="168">
          <cell r="J168">
            <v>4403.9231600000003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21.108000000000001</v>
          </cell>
        </row>
        <row r="23">
          <cell r="J23">
            <v>253.994</v>
          </cell>
        </row>
        <row r="24">
          <cell r="K24">
            <v>16.004000000000001</v>
          </cell>
        </row>
        <row r="28">
          <cell r="J28">
            <v>14602.751</v>
          </cell>
          <cell r="K28">
            <v>48.741999999999997</v>
          </cell>
        </row>
        <row r="29">
          <cell r="J29">
            <v>59.584000000000003</v>
          </cell>
        </row>
        <row r="30">
          <cell r="K30">
            <v>1.306</v>
          </cell>
        </row>
        <row r="31">
          <cell r="H31">
            <v>2240.4749999999999</v>
          </cell>
          <cell r="J31">
            <v>134.69999999999999</v>
          </cell>
        </row>
        <row r="32">
          <cell r="H32">
            <v>354.73399999999998</v>
          </cell>
        </row>
        <row r="44">
          <cell r="H44">
            <v>2042.9690000000001</v>
          </cell>
          <cell r="J44">
            <v>2757.63</v>
          </cell>
          <cell r="K44">
            <v>2608.6729999999998</v>
          </cell>
        </row>
        <row r="48">
          <cell r="J48">
            <v>185.857</v>
          </cell>
          <cell r="K48">
            <v>45.042999999999999</v>
          </cell>
        </row>
        <row r="49">
          <cell r="J49">
            <v>83.382000000000005</v>
          </cell>
          <cell r="K49">
            <v>16.695</v>
          </cell>
        </row>
        <row r="50">
          <cell r="K50">
            <v>17.02</v>
          </cell>
        </row>
        <row r="51">
          <cell r="J51">
            <v>2.0179999999999998</v>
          </cell>
        </row>
        <row r="53">
          <cell r="J53">
            <v>6.82</v>
          </cell>
        </row>
        <row r="59">
          <cell r="H59">
            <v>535.22</v>
          </cell>
          <cell r="J59">
            <v>1255.4659999999999</v>
          </cell>
          <cell r="K59">
            <v>423.745</v>
          </cell>
        </row>
        <row r="134">
          <cell r="K134">
            <v>6.673</v>
          </cell>
        </row>
        <row r="135">
          <cell r="K135">
            <v>8.83</v>
          </cell>
        </row>
        <row r="137">
          <cell r="K137">
            <v>4.1710000000000003</v>
          </cell>
        </row>
        <row r="168">
          <cell r="J168">
            <v>4766.83061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30.163</v>
          </cell>
        </row>
        <row r="23">
          <cell r="J23">
            <v>325.59699999999998</v>
          </cell>
        </row>
        <row r="24">
          <cell r="K24">
            <v>18.388000000000002</v>
          </cell>
        </row>
        <row r="28">
          <cell r="J28">
            <v>17010.73</v>
          </cell>
          <cell r="K28">
            <v>62.802</v>
          </cell>
        </row>
        <row r="29">
          <cell r="J29">
            <v>79.462999999999994</v>
          </cell>
        </row>
        <row r="30">
          <cell r="K30">
            <v>1.23</v>
          </cell>
        </row>
        <row r="31">
          <cell r="J31">
            <v>171.28</v>
          </cell>
        </row>
        <row r="32">
          <cell r="H32">
            <v>2765.9670000000001</v>
          </cell>
        </row>
        <row r="44">
          <cell r="H44">
            <v>2713.1320000000001</v>
          </cell>
          <cell r="J44">
            <v>3269.2310000000002</v>
          </cell>
          <cell r="K44">
            <v>3125.8380000000002</v>
          </cell>
        </row>
        <row r="48">
          <cell r="J48">
            <v>238.75399999999999</v>
          </cell>
          <cell r="K48">
            <v>50.790999999999997</v>
          </cell>
        </row>
        <row r="49">
          <cell r="J49">
            <v>123.267</v>
          </cell>
          <cell r="K49">
            <v>21.085000000000001</v>
          </cell>
        </row>
        <row r="50">
          <cell r="K50">
            <v>15.506</v>
          </cell>
        </row>
        <row r="51">
          <cell r="J51">
            <v>2.6909999999999998</v>
          </cell>
        </row>
        <row r="53">
          <cell r="J53">
            <v>10.82</v>
          </cell>
        </row>
        <row r="59">
          <cell r="H59">
            <v>37.329000000000001</v>
          </cell>
          <cell r="J59">
            <v>1432.5930000000001</v>
          </cell>
          <cell r="K59">
            <v>981.22299999999996</v>
          </cell>
        </row>
        <row r="134">
          <cell r="K134">
            <v>8.4779999999999998</v>
          </cell>
        </row>
        <row r="135">
          <cell r="K135">
            <v>17.899999999999999</v>
          </cell>
        </row>
        <row r="137">
          <cell r="K137">
            <v>4.6319999999999997</v>
          </cell>
        </row>
        <row r="168">
          <cell r="J168">
            <v>5408.7167099999997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27.039000000000001</v>
          </cell>
        </row>
        <row r="23">
          <cell r="J23">
            <v>381.572</v>
          </cell>
        </row>
        <row r="24">
          <cell r="K24">
            <v>20.202000000000002</v>
          </cell>
        </row>
        <row r="28">
          <cell r="J28">
            <v>19480.210999999999</v>
          </cell>
          <cell r="K28">
            <v>70.510999999999996</v>
          </cell>
        </row>
        <row r="29">
          <cell r="J29">
            <v>93.39</v>
          </cell>
        </row>
        <row r="30">
          <cell r="K30">
            <v>1.478</v>
          </cell>
        </row>
        <row r="31">
          <cell r="J31">
            <v>285.38</v>
          </cell>
        </row>
        <row r="32">
          <cell r="H32">
            <v>2788.7370000000001</v>
          </cell>
        </row>
        <row r="44">
          <cell r="H44">
            <v>2721.8490000000002</v>
          </cell>
          <cell r="J44">
            <v>3345.9780000000001</v>
          </cell>
          <cell r="K44">
            <v>3338.759</v>
          </cell>
        </row>
        <row r="48">
          <cell r="J48">
            <v>307.82799999999997</v>
          </cell>
          <cell r="K48">
            <v>64.411000000000001</v>
          </cell>
        </row>
        <row r="49">
          <cell r="J49">
            <v>105.369</v>
          </cell>
          <cell r="K49">
            <v>17.442</v>
          </cell>
        </row>
        <row r="50">
          <cell r="K50">
            <v>15.76</v>
          </cell>
        </row>
        <row r="51">
          <cell r="J51">
            <v>2.63</v>
          </cell>
        </row>
        <row r="53">
          <cell r="J53">
            <v>14.4</v>
          </cell>
        </row>
        <row r="59">
          <cell r="H59">
            <v>51.128</v>
          </cell>
          <cell r="J59">
            <v>1592.4159999999999</v>
          </cell>
          <cell r="K59">
            <v>1010.077</v>
          </cell>
        </row>
        <row r="134">
          <cell r="K134">
            <v>11.54</v>
          </cell>
        </row>
        <row r="135">
          <cell r="K135">
            <v>23.425999999999998</v>
          </cell>
        </row>
        <row r="137">
          <cell r="K137">
            <v>5.3070000000000004</v>
          </cell>
        </row>
        <row r="168">
          <cell r="J168">
            <v>6285.9329150000003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>
        <row r="15">
          <cell r="G15" t="str">
            <v>ООО "ГИП-Электро"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34.195999999999998</v>
          </cell>
        </row>
        <row r="23">
          <cell r="J23">
            <v>504.85300000000001</v>
          </cell>
        </row>
        <row r="24">
          <cell r="K24">
            <v>29.879000000000001</v>
          </cell>
        </row>
        <row r="28">
          <cell r="J28">
            <v>21576.419000000002</v>
          </cell>
          <cell r="K28">
            <v>78.680999999999997</v>
          </cell>
        </row>
        <row r="29">
          <cell r="J29">
            <v>116.126</v>
          </cell>
        </row>
        <row r="30">
          <cell r="K30">
            <v>1.55</v>
          </cell>
        </row>
        <row r="31">
          <cell r="J31">
            <v>390.24</v>
          </cell>
        </row>
        <row r="32">
          <cell r="H32">
            <v>1718.9079999999999</v>
          </cell>
        </row>
        <row r="44">
          <cell r="H44">
            <v>1110.934</v>
          </cell>
          <cell r="J44">
            <v>3604.1260000000002</v>
          </cell>
          <cell r="K44">
            <v>3733.1480000000001</v>
          </cell>
        </row>
        <row r="48">
          <cell r="J48">
            <v>382.86799999999999</v>
          </cell>
          <cell r="K48">
            <v>69.123000000000005</v>
          </cell>
        </row>
        <row r="49">
          <cell r="J49">
            <v>151.566</v>
          </cell>
          <cell r="K49">
            <v>27.623999999999999</v>
          </cell>
        </row>
        <row r="50">
          <cell r="K50">
            <v>16.396000000000001</v>
          </cell>
        </row>
        <row r="51">
          <cell r="J51">
            <v>2.569</v>
          </cell>
        </row>
        <row r="53">
          <cell r="J53">
            <v>14.76</v>
          </cell>
        </row>
        <row r="59">
          <cell r="H59">
            <v>22.786999999999999</v>
          </cell>
          <cell r="J59">
            <v>2104.4369999999999</v>
          </cell>
          <cell r="K59">
            <v>1330.124</v>
          </cell>
        </row>
        <row r="134">
          <cell r="K134">
            <v>13.477</v>
          </cell>
        </row>
        <row r="135">
          <cell r="K135">
            <v>36.42</v>
          </cell>
        </row>
        <row r="137">
          <cell r="K137">
            <v>6.306</v>
          </cell>
        </row>
        <row r="168">
          <cell r="J168">
            <v>7055.5114249999997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32.872999999999998</v>
          </cell>
        </row>
        <row r="23">
          <cell r="J23">
            <v>420.27499999999998</v>
          </cell>
        </row>
        <row r="24">
          <cell r="K24">
            <v>29.137</v>
          </cell>
        </row>
        <row r="28">
          <cell r="J28">
            <v>20037.830999999998</v>
          </cell>
          <cell r="K28">
            <v>74.424999999999997</v>
          </cell>
        </row>
        <row r="29">
          <cell r="J29">
            <v>103.221</v>
          </cell>
        </row>
        <row r="30">
          <cell r="K30">
            <v>1.6970000000000001</v>
          </cell>
        </row>
        <row r="31">
          <cell r="J31">
            <v>375.56</v>
          </cell>
        </row>
        <row r="32">
          <cell r="H32">
            <v>1948.9739999999999</v>
          </cell>
        </row>
        <row r="44">
          <cell r="H44">
            <v>1845.2729999999999</v>
          </cell>
          <cell r="J44">
            <v>3451.625</v>
          </cell>
          <cell r="K44">
            <v>3555.489</v>
          </cell>
        </row>
        <row r="48">
          <cell r="J48">
            <v>334.78800000000001</v>
          </cell>
          <cell r="K48">
            <v>62.847999999999999</v>
          </cell>
        </row>
        <row r="49">
          <cell r="J49">
            <v>124.2</v>
          </cell>
          <cell r="K49">
            <v>19.991</v>
          </cell>
        </row>
        <row r="50">
          <cell r="K50">
            <v>16.733000000000001</v>
          </cell>
        </row>
        <row r="51">
          <cell r="J51">
            <v>2.875</v>
          </cell>
        </row>
        <row r="53">
          <cell r="J53">
            <v>12.36</v>
          </cell>
        </row>
        <row r="59">
          <cell r="H59">
            <v>86.968000000000004</v>
          </cell>
          <cell r="J59">
            <v>1864.943</v>
          </cell>
          <cell r="K59">
            <v>463.83800000000002</v>
          </cell>
        </row>
        <row r="134">
          <cell r="K134">
            <v>14.36</v>
          </cell>
        </row>
        <row r="135">
          <cell r="K135">
            <v>29.86</v>
          </cell>
        </row>
        <row r="137">
          <cell r="K137">
            <v>6.99</v>
          </cell>
        </row>
        <row r="168">
          <cell r="J168">
            <v>6657.7639200000003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32.054000000000002</v>
          </cell>
        </row>
        <row r="23">
          <cell r="J23">
            <v>422.75900000000001</v>
          </cell>
        </row>
        <row r="24">
          <cell r="K24">
            <v>28.082999999999998</v>
          </cell>
        </row>
        <row r="28">
          <cell r="J28">
            <v>19595.567999999999</v>
          </cell>
          <cell r="K28">
            <v>68.263000000000005</v>
          </cell>
        </row>
        <row r="29">
          <cell r="J29">
            <v>98.653000000000006</v>
          </cell>
        </row>
        <row r="30">
          <cell r="K30">
            <v>1.502</v>
          </cell>
        </row>
        <row r="31">
          <cell r="J31">
            <v>260.89999999999998</v>
          </cell>
        </row>
        <row r="32">
          <cell r="H32">
            <v>2261.4720000000002</v>
          </cell>
        </row>
        <row r="44">
          <cell r="H44">
            <v>2150.8670000000002</v>
          </cell>
          <cell r="J44">
            <v>3516.5129999999999</v>
          </cell>
          <cell r="K44">
            <v>3468.5790000000002</v>
          </cell>
        </row>
        <row r="48">
          <cell r="J48">
            <v>328.767</v>
          </cell>
          <cell r="K48">
            <v>62.375999999999998</v>
          </cell>
        </row>
        <row r="49">
          <cell r="J49">
            <v>142.70500000000001</v>
          </cell>
          <cell r="K49">
            <v>20.652000000000001</v>
          </cell>
        </row>
        <row r="50">
          <cell r="K50">
            <v>14.468999999999999</v>
          </cell>
        </row>
        <row r="51">
          <cell r="J51">
            <v>3.3029999999999999</v>
          </cell>
        </row>
        <row r="53">
          <cell r="J53">
            <v>13.18</v>
          </cell>
        </row>
        <row r="59">
          <cell r="H59">
            <v>96.135999999999996</v>
          </cell>
          <cell r="J59">
            <v>1798.771</v>
          </cell>
          <cell r="K59">
            <v>338.77499999999998</v>
          </cell>
        </row>
        <row r="134">
          <cell r="K134">
            <v>10.858000000000001</v>
          </cell>
        </row>
        <row r="135">
          <cell r="K135">
            <v>28.960999999999999</v>
          </cell>
        </row>
        <row r="137">
          <cell r="K137">
            <v>5.5579999999999998</v>
          </cell>
        </row>
        <row r="168">
          <cell r="J168">
            <v>6499.2602900000002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27.256</v>
          </cell>
        </row>
        <row r="23">
          <cell r="J23">
            <v>311.48700000000002</v>
          </cell>
        </row>
        <row r="24">
          <cell r="K24">
            <v>19.908000000000001</v>
          </cell>
        </row>
        <row r="28">
          <cell r="J28">
            <v>15763.133</v>
          </cell>
          <cell r="K28">
            <v>53.951999999999998</v>
          </cell>
        </row>
        <row r="29">
          <cell r="J29">
            <v>81.164000000000001</v>
          </cell>
        </row>
        <row r="30">
          <cell r="K30">
            <v>1.5069999999999999</v>
          </cell>
        </row>
        <row r="31">
          <cell r="J31">
            <v>133.58000000000001</v>
          </cell>
        </row>
        <row r="32">
          <cell r="H32">
            <v>2401.9659999999999</v>
          </cell>
        </row>
        <row r="44">
          <cell r="H44">
            <v>2295.8159999999998</v>
          </cell>
          <cell r="J44">
            <v>2893.1770000000001</v>
          </cell>
          <cell r="K44">
            <v>2799.1260000000002</v>
          </cell>
        </row>
        <row r="48">
          <cell r="J48">
            <v>227.19900000000001</v>
          </cell>
          <cell r="K48">
            <v>50.761000000000003</v>
          </cell>
        </row>
        <row r="49">
          <cell r="J49">
            <v>82.120999999999995</v>
          </cell>
          <cell r="K49">
            <v>18.225999999999999</v>
          </cell>
        </row>
        <row r="50">
          <cell r="K50">
            <v>14.456</v>
          </cell>
        </row>
        <row r="51">
          <cell r="J51">
            <v>2.4470000000000001</v>
          </cell>
        </row>
        <row r="53">
          <cell r="J53">
            <v>7.7</v>
          </cell>
        </row>
        <row r="59">
          <cell r="H59">
            <v>91.694000000000003</v>
          </cell>
          <cell r="J59">
            <v>789.346</v>
          </cell>
          <cell r="K59">
            <v>404.03500000000003</v>
          </cell>
        </row>
        <row r="134">
          <cell r="K134">
            <v>5.8339999999999996</v>
          </cell>
        </row>
        <row r="135">
          <cell r="K135">
            <v>17.5</v>
          </cell>
        </row>
        <row r="137">
          <cell r="K137">
            <v>4.4870000000000001</v>
          </cell>
        </row>
        <row r="168">
          <cell r="J168">
            <v>5379.4234150000002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18.545000000000002</v>
          </cell>
        </row>
        <row r="23">
          <cell r="J23">
            <v>248.4</v>
          </cell>
        </row>
        <row r="24">
          <cell r="K24">
            <v>15.102</v>
          </cell>
        </row>
        <row r="28">
          <cell r="J28">
            <v>13251.084000000001</v>
          </cell>
          <cell r="K28">
            <v>40.85</v>
          </cell>
        </row>
        <row r="29">
          <cell r="J29">
            <v>57.232999999999997</v>
          </cell>
        </row>
        <row r="30">
          <cell r="K30">
            <v>1.605</v>
          </cell>
        </row>
        <row r="31">
          <cell r="J31">
            <v>74.22</v>
          </cell>
        </row>
        <row r="32">
          <cell r="H32">
            <v>2423.2269999999999</v>
          </cell>
        </row>
        <row r="44">
          <cell r="H44">
            <v>2318.8760000000002</v>
          </cell>
          <cell r="J44">
            <v>2542.3629999999998</v>
          </cell>
          <cell r="K44">
            <v>2437.7849999999999</v>
          </cell>
        </row>
        <row r="48">
          <cell r="J48">
            <v>169.56200000000001</v>
          </cell>
          <cell r="K48">
            <v>43.411000000000001</v>
          </cell>
        </row>
        <row r="49">
          <cell r="J49">
            <v>81.593000000000004</v>
          </cell>
          <cell r="K49">
            <v>12.234</v>
          </cell>
        </row>
        <row r="50">
          <cell r="K50">
            <v>13.579000000000001</v>
          </cell>
        </row>
        <row r="51">
          <cell r="J51">
            <v>1.5289999999999999</v>
          </cell>
        </row>
        <row r="53">
          <cell r="J53">
            <v>6.48</v>
          </cell>
        </row>
        <row r="59">
          <cell r="H59">
            <v>90.772000000000006</v>
          </cell>
          <cell r="J59">
            <v>564.55899999999997</v>
          </cell>
          <cell r="K59">
            <v>205.99600000000001</v>
          </cell>
        </row>
        <row r="134">
          <cell r="K134">
            <v>7.93</v>
          </cell>
        </row>
        <row r="135">
          <cell r="K135">
            <v>9.5779999999999994</v>
          </cell>
        </row>
        <row r="137">
          <cell r="K137">
            <v>1.5569999999999999</v>
          </cell>
        </row>
        <row r="168">
          <cell r="J168">
            <v>4576.2464600000003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16.361999999999998</v>
          </cell>
        </row>
        <row r="23">
          <cell r="J23">
            <v>255.767</v>
          </cell>
        </row>
        <row r="24">
          <cell r="K24">
            <v>14.257999999999999</v>
          </cell>
        </row>
        <row r="28">
          <cell r="J28">
            <v>12430.215</v>
          </cell>
          <cell r="K28">
            <v>41.758000000000003</v>
          </cell>
        </row>
        <row r="29">
          <cell r="J29">
            <v>54.527000000000001</v>
          </cell>
        </row>
        <row r="30">
          <cell r="K30">
            <v>1.4319999999999999</v>
          </cell>
        </row>
        <row r="31">
          <cell r="J31">
            <v>58.5</v>
          </cell>
        </row>
        <row r="32">
          <cell r="H32">
            <v>2561.1060000000002</v>
          </cell>
        </row>
        <row r="44">
          <cell r="H44">
            <v>2462.6289999999999</v>
          </cell>
          <cell r="J44">
            <v>2559.7869999999998</v>
          </cell>
          <cell r="K44">
            <v>2430.335</v>
          </cell>
        </row>
        <row r="48">
          <cell r="J48">
            <v>163.642</v>
          </cell>
          <cell r="K48">
            <v>38.143999999999998</v>
          </cell>
        </row>
        <row r="49">
          <cell r="J49">
            <v>72.106999999999999</v>
          </cell>
          <cell r="K49">
            <v>10.753</v>
          </cell>
        </row>
        <row r="50">
          <cell r="K50">
            <v>12.319000000000001</v>
          </cell>
        </row>
        <row r="51">
          <cell r="J51">
            <v>1.59</v>
          </cell>
        </row>
        <row r="53">
          <cell r="J53">
            <v>6.14</v>
          </cell>
        </row>
        <row r="59">
          <cell r="H59">
            <v>86.158000000000001</v>
          </cell>
          <cell r="J59">
            <v>617.35699999999997</v>
          </cell>
          <cell r="K59">
            <v>234.16399999999999</v>
          </cell>
        </row>
        <row r="134">
          <cell r="K134">
            <v>5.883</v>
          </cell>
        </row>
        <row r="135">
          <cell r="K135">
            <v>6.6669999999999998</v>
          </cell>
        </row>
        <row r="137">
          <cell r="K137">
            <v>2.883</v>
          </cell>
        </row>
        <row r="168">
          <cell r="J168">
            <v>4251.2163200000005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>
        <row r="22">
          <cell r="J22">
            <v>17.234999999999999</v>
          </cell>
        </row>
        <row r="23">
          <cell r="J23">
            <v>293.49099999999999</v>
          </cell>
        </row>
        <row r="24">
          <cell r="K24">
            <v>15.009</v>
          </cell>
        </row>
        <row r="28">
          <cell r="J28">
            <v>12961.195</v>
          </cell>
          <cell r="K28">
            <v>38.192999999999998</v>
          </cell>
        </row>
        <row r="29">
          <cell r="J29">
            <v>45.76</v>
          </cell>
        </row>
        <row r="30">
          <cell r="K30">
            <v>1.4359999999999999</v>
          </cell>
        </row>
        <row r="31">
          <cell r="J31">
            <v>35.119999999999997</v>
          </cell>
        </row>
        <row r="32">
          <cell r="H32">
            <v>2622.826</v>
          </cell>
        </row>
        <row r="44">
          <cell r="H44">
            <v>2515.5450000000001</v>
          </cell>
          <cell r="J44">
            <v>2845.4470000000001</v>
          </cell>
          <cell r="K44">
            <v>2445.9899999999998</v>
          </cell>
        </row>
        <row r="48">
          <cell r="J48">
            <v>182.16300000000001</v>
          </cell>
          <cell r="K48">
            <v>33.536999999999999</v>
          </cell>
        </row>
        <row r="49">
          <cell r="J49">
            <v>74.158000000000001</v>
          </cell>
          <cell r="K49">
            <v>7.306</v>
          </cell>
        </row>
        <row r="50">
          <cell r="K50">
            <v>13.851000000000001</v>
          </cell>
        </row>
        <row r="51">
          <cell r="J51">
            <v>1.468</v>
          </cell>
        </row>
        <row r="53">
          <cell r="J53">
            <v>7.12</v>
          </cell>
        </row>
        <row r="59">
          <cell r="H59">
            <v>93.43</v>
          </cell>
          <cell r="J59">
            <v>881.84199999999998</v>
          </cell>
          <cell r="K59">
            <v>244.33600000000001</v>
          </cell>
        </row>
        <row r="134">
          <cell r="K134">
            <v>5.883</v>
          </cell>
        </row>
        <row r="135">
          <cell r="K135">
            <v>6.6669999999999998</v>
          </cell>
        </row>
        <row r="137">
          <cell r="K137">
            <v>2.883</v>
          </cell>
        </row>
        <row r="168">
          <cell r="J168">
            <v>4340.8641399999997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00"/>
  <sheetViews>
    <sheetView tabSelected="1" topLeftCell="C7" workbookViewId="0">
      <selection activeCell="E183" sqref="E183"/>
    </sheetView>
  </sheetViews>
  <sheetFormatPr defaultColWidth="9.140625" defaultRowHeight="11.25"/>
  <cols>
    <col min="1" max="2" width="9.140625" style="1" hidden="1" customWidth="1"/>
    <col min="3" max="3" width="89.85546875" style="1" customWidth="1"/>
    <col min="4" max="5" width="15.7109375" style="1" customWidth="1"/>
    <col min="6" max="6" width="15.7109375" style="1" hidden="1" customWidth="1"/>
    <col min="7" max="8" width="15.7109375" style="1" customWidth="1"/>
    <col min="9" max="9" width="6.7109375" style="1" customWidth="1"/>
    <col min="10" max="28" width="11.7109375" style="1" customWidth="1"/>
    <col min="29" max="16384" width="9.140625" style="1"/>
  </cols>
  <sheetData>
    <row r="1" spans="1:92" hidden="1">
      <c r="L1" s="2"/>
      <c r="M1" s="2"/>
      <c r="N1" s="2"/>
      <c r="O1" s="2"/>
      <c r="P1" s="2"/>
      <c r="Q1" s="2"/>
      <c r="R1" s="2"/>
      <c r="S1" s="2"/>
      <c r="T1" s="2"/>
      <c r="V1" s="2"/>
      <c r="Y1" s="2"/>
      <c r="Z1" s="2"/>
      <c r="AG1" s="2"/>
      <c r="AH1" s="2"/>
      <c r="AI1" s="2"/>
      <c r="AK1" s="2"/>
      <c r="AL1" s="2"/>
      <c r="AP1" s="2"/>
      <c r="AQ1" s="2"/>
      <c r="AS1" s="2"/>
      <c r="AV1" s="2"/>
      <c r="AY1" s="2"/>
      <c r="BB1" s="2"/>
      <c r="BE1" s="2"/>
      <c r="BI1" s="2"/>
      <c r="BJ1" s="2"/>
      <c r="BK1" s="2"/>
      <c r="BM1" s="2"/>
      <c r="BQ1" s="2"/>
      <c r="BR1" s="2"/>
      <c r="BT1" s="2"/>
      <c r="BU1" s="2"/>
      <c r="BV1" s="2"/>
      <c r="CA1" s="2"/>
      <c r="CB1" s="2"/>
      <c r="CL1" s="2"/>
      <c r="CN1" s="2"/>
    </row>
    <row r="2" spans="1:92" hidden="1"/>
    <row r="3" spans="1:92" hidden="1"/>
    <row r="4" spans="1:92" hidden="1">
      <c r="A4" s="3"/>
      <c r="D4" s="4"/>
      <c r="E4" s="4"/>
      <c r="F4" s="4"/>
      <c r="G4" s="4"/>
      <c r="H4" s="4"/>
      <c r="J4" s="4"/>
    </row>
    <row r="5" spans="1:92" hidden="1">
      <c r="A5" s="5"/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85</v>
      </c>
      <c r="J5" s="1" t="s">
        <v>82</v>
      </c>
    </row>
    <row r="6" spans="1:92" hidden="1">
      <c r="A6" s="5"/>
    </row>
    <row r="7" spans="1:92" ht="12" customHeight="1">
      <c r="A7" s="5"/>
      <c r="C7" s="6"/>
      <c r="D7" s="6"/>
      <c r="E7" s="6"/>
      <c r="F7" s="6"/>
      <c r="G7" s="6"/>
      <c r="H7" s="7"/>
      <c r="J7" s="48"/>
    </row>
    <row r="8" spans="1:92" ht="22.5" customHeight="1">
      <c r="A8" s="5"/>
      <c r="C8" s="54" t="s">
        <v>84</v>
      </c>
      <c r="D8" s="54"/>
      <c r="E8" s="8"/>
      <c r="F8" s="8"/>
      <c r="G8" s="8"/>
      <c r="H8" s="8"/>
      <c r="I8" s="8"/>
      <c r="J8" s="8"/>
    </row>
    <row r="9" spans="1:92">
      <c r="A9" s="5"/>
      <c r="C9" s="9" t="str">
        <f>IF(ва="","Не определено",ва)</f>
        <v>ООО "ГИП-Электро"</v>
      </c>
      <c r="D9" s="50"/>
      <c r="E9" s="8"/>
      <c r="F9" s="8"/>
      <c r="G9" s="8"/>
      <c r="H9" s="8"/>
      <c r="I9" s="8"/>
      <c r="J9" s="8"/>
    </row>
    <row r="10" spans="1:92" ht="12" customHeight="1">
      <c r="C10" s="10"/>
      <c r="D10" s="6"/>
      <c r="E10" s="6"/>
      <c r="F10" s="6"/>
      <c r="H10" s="11"/>
    </row>
    <row r="11" spans="1:92" ht="15" customHeight="1">
      <c r="C11" s="51" t="s">
        <v>5</v>
      </c>
      <c r="D11" s="51" t="s">
        <v>6</v>
      </c>
      <c r="E11" s="51" t="s">
        <v>7</v>
      </c>
      <c r="F11" s="51"/>
      <c r="G11" s="51"/>
      <c r="H11" s="53"/>
      <c r="I11" s="58"/>
    </row>
    <row r="12" spans="1:92" ht="15" customHeight="1">
      <c r="C12" s="52"/>
      <c r="D12" s="52"/>
      <c r="E12" s="49" t="s">
        <v>8</v>
      </c>
      <c r="F12" s="49" t="s">
        <v>9</v>
      </c>
      <c r="G12" s="49" t="s">
        <v>10</v>
      </c>
      <c r="H12" s="12" t="s">
        <v>11</v>
      </c>
      <c r="I12" s="58"/>
    </row>
    <row r="13" spans="1:92" ht="12" customHeight="1">
      <c r="C13" s="13">
        <v>1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</row>
    <row r="14" spans="1:92" s="14" customFormat="1" ht="15" customHeight="1">
      <c r="C14" s="56"/>
      <c r="D14" s="56"/>
      <c r="E14" s="56"/>
      <c r="F14" s="56"/>
      <c r="G14" s="56"/>
      <c r="H14" s="57"/>
      <c r="I14" s="59"/>
    </row>
    <row r="15" spans="1:92" s="14" customFormat="1" ht="15" customHeight="1">
      <c r="C15" s="15" t="s">
        <v>12</v>
      </c>
      <c r="D15" s="16">
        <f>SUM(E15:H15)</f>
        <v>239462.55</v>
      </c>
      <c r="E15" s="16">
        <f>E16+E17+E20+E26</f>
        <v>29224.301000000007</v>
      </c>
      <c r="F15" s="16">
        <f>F16+F17+F20+F26</f>
        <v>0</v>
      </c>
      <c r="G15" s="16">
        <f>G16+G17+G20+G26</f>
        <v>209286.81599999999</v>
      </c>
      <c r="H15" s="16">
        <f>H16+H17+H20+H26</f>
        <v>951.43299999999988</v>
      </c>
      <c r="I15" s="59"/>
    </row>
    <row r="16" spans="1:92" s="14" customFormat="1" ht="15" customHeight="1">
      <c r="C16" s="17" t="s">
        <v>13</v>
      </c>
      <c r="D16" s="16">
        <f t="shared" ref="D16:D156" si="0">SUM(E16:H16)</f>
        <v>0</v>
      </c>
      <c r="E16" s="18"/>
      <c r="F16" s="18"/>
      <c r="G16" s="18"/>
      <c r="H16" s="18"/>
      <c r="I16" s="59"/>
    </row>
    <row r="17" spans="3:9" s="14" customFormat="1">
      <c r="C17" s="17" t="s">
        <v>14</v>
      </c>
      <c r="D17" s="16">
        <f t="shared" si="0"/>
        <v>0</v>
      </c>
      <c r="E17" s="16">
        <f>SUM(E18:E19)</f>
        <v>0</v>
      </c>
      <c r="F17" s="16">
        <f>SUM(F18:F19)</f>
        <v>0</v>
      </c>
      <c r="G17" s="16">
        <f>SUM(G18:G19)</f>
        <v>0</v>
      </c>
      <c r="H17" s="16">
        <f>SUM(H18:H19)</f>
        <v>0</v>
      </c>
      <c r="I17" s="59"/>
    </row>
    <row r="18" spans="3:9" s="14" customFormat="1">
      <c r="C18" s="19"/>
      <c r="D18" s="20"/>
      <c r="E18" s="20"/>
      <c r="F18" s="20"/>
      <c r="G18" s="20"/>
      <c r="H18" s="20"/>
      <c r="I18" s="59"/>
    </row>
    <row r="19" spans="3:9" s="14" customFormat="1">
      <c r="C19" s="21" t="s">
        <v>15</v>
      </c>
      <c r="D19" s="22"/>
      <c r="E19" s="22"/>
      <c r="F19" s="22"/>
      <c r="G19" s="22"/>
      <c r="H19" s="23"/>
      <c r="I19" s="59"/>
    </row>
    <row r="20" spans="3:9" s="14" customFormat="1">
      <c r="C20" s="17" t="s">
        <v>16</v>
      </c>
      <c r="D20" s="16">
        <f t="shared" si="0"/>
        <v>4681.393</v>
      </c>
      <c r="E20" s="16">
        <f>SUM(E21:E25)</f>
        <v>0</v>
      </c>
      <c r="F20" s="16">
        <f>SUM(F21:F25)</f>
        <v>0</v>
      </c>
      <c r="G20" s="16">
        <f>SUM(G21:G25)</f>
        <v>4439.37</v>
      </c>
      <c r="H20" s="16">
        <f>SUM(H21:H25)</f>
        <v>242.02300000000002</v>
      </c>
      <c r="I20" s="59"/>
    </row>
    <row r="21" spans="3:9" s="14" customFormat="1">
      <c r="C21" s="19"/>
      <c r="D21" s="20"/>
      <c r="E21" s="20"/>
      <c r="F21" s="20"/>
      <c r="G21" s="20"/>
      <c r="H21" s="20"/>
      <c r="I21" s="59"/>
    </row>
    <row r="22" spans="3:9" s="14" customFormat="1" ht="15">
      <c r="C22" s="24" t="s">
        <v>17</v>
      </c>
      <c r="D22" s="25">
        <f>SUM(E22:H22)</f>
        <v>297.52499999999998</v>
      </c>
      <c r="E22" s="26"/>
      <c r="F22" s="26"/>
      <c r="G22" s="26">
        <f>23.758+'[3]Отпуск ЭЭ сет организациями'!$J$22+'[4]Отпуск ЭЭ сет организациями'!$J$22+'[5]Отпуск ЭЭ сет организациями'!$J$22+'[6]Отпуск ЭЭ сет организациями'!$J$22+'[7]Отпуск ЭЭ сет организациями'!$J$22+'[8]Отпуск ЭЭ сет организациями'!$J$22+'[9]Отпуск ЭЭ сет организациями'!$J$22+'[10]Отпуск ЭЭ сет организациями'!$J$22+'[11]Отпуск ЭЭ сет организациями'!$J$22+'[12]Отпуск ЭЭ сет организациями'!$J$22+'[13]Отпуск ЭЭ сет организациями'!$J$22</f>
        <v>297.52499999999998</v>
      </c>
      <c r="H22" s="27"/>
      <c r="I22" s="59"/>
    </row>
    <row r="23" spans="3:9" s="14" customFormat="1" ht="30">
      <c r="C23" s="24" t="s">
        <v>18</v>
      </c>
      <c r="D23" s="25">
        <f>SUM(E23:H23)</f>
        <v>4141.8450000000003</v>
      </c>
      <c r="E23" s="26"/>
      <c r="F23" s="26"/>
      <c r="G23" s="26">
        <f>442.201+'[3]Отпуск ЭЭ сет организациями'!$J$23+'[4]Отпуск ЭЭ сет организациями'!$J$23+'[5]Отпуск ЭЭ сет организациями'!$J$23+'[6]Отпуск ЭЭ сет организациями'!$J$23+'[7]Отпуск ЭЭ сет организациями'!$J$23+'[8]Отпуск ЭЭ сет организациями'!$J$23+'[9]Отпуск ЭЭ сет организациями'!$J$23+'[10]Отпуск ЭЭ сет организациями'!$J$23+'[11]Отпуск ЭЭ сет организациями'!$J$23+'[12]Отпуск ЭЭ сет организациями'!$J$23+'[13]Отпуск ЭЭ сет организациями'!$J$23</f>
        <v>4141.8450000000003</v>
      </c>
      <c r="H23" s="27"/>
      <c r="I23" s="59"/>
    </row>
    <row r="24" spans="3:9" s="14" customFormat="1" ht="30">
      <c r="C24" s="24" t="s">
        <v>19</v>
      </c>
      <c r="D24" s="25">
        <f>SUM(E24:H24)</f>
        <v>242.02300000000002</v>
      </c>
      <c r="E24" s="26"/>
      <c r="F24" s="26"/>
      <c r="G24" s="26"/>
      <c r="H24" s="27">
        <f>21.185+'[3]Отпуск ЭЭ сет организациями'!$K$24+'[4]Отпуск ЭЭ сет организациями'!$K$24+'[5]Отпуск ЭЭ сет организациями'!$K$24+'[6]Отпуск ЭЭ сет организациями'!$K$24+'[7]Отпуск ЭЭ сет организациями'!$K$24+'[8]Отпуск ЭЭ сет организациями'!$K$24+'[9]Отпуск ЭЭ сет организациями'!$K$24+'[10]Отпуск ЭЭ сет организациями'!$K$24+'[11]Отпуск ЭЭ сет организациями'!$K$24+'[12]Отпуск ЭЭ сет организациями'!$K$24+'[13]Отпуск ЭЭ сет организациями'!$K$24</f>
        <v>242.02300000000002</v>
      </c>
      <c r="I24" s="59"/>
    </row>
    <row r="25" spans="3:9" s="14" customFormat="1">
      <c r="C25" s="21" t="s">
        <v>15</v>
      </c>
      <c r="D25" s="22"/>
      <c r="E25" s="22"/>
      <c r="F25" s="22"/>
      <c r="G25" s="22"/>
      <c r="H25" s="23"/>
      <c r="I25" s="59"/>
    </row>
    <row r="26" spans="3:9" s="14" customFormat="1">
      <c r="C26" s="17" t="s">
        <v>20</v>
      </c>
      <c r="D26" s="16">
        <f t="shared" si="0"/>
        <v>234781.15700000001</v>
      </c>
      <c r="E26" s="16">
        <f>SUM(E27:E33)</f>
        <v>29224.301000000007</v>
      </c>
      <c r="F26" s="16">
        <f>SUM(F27:F33)</f>
        <v>0</v>
      </c>
      <c r="G26" s="16">
        <f>SUM(G27:G33)</f>
        <v>204847.446</v>
      </c>
      <c r="H26" s="16">
        <f>SUM(H27:H33)</f>
        <v>709.40999999999985</v>
      </c>
      <c r="I26" s="59"/>
    </row>
    <row r="27" spans="3:9" s="14" customFormat="1">
      <c r="C27" s="19"/>
      <c r="D27" s="20"/>
      <c r="E27" s="20"/>
      <c r="F27" s="20"/>
      <c r="G27" s="20"/>
      <c r="H27" s="20"/>
      <c r="I27" s="59"/>
    </row>
    <row r="28" spans="3:9" s="14" customFormat="1" ht="15">
      <c r="C28" s="24" t="s">
        <v>21</v>
      </c>
      <c r="D28" s="25">
        <f>SUM(E28:H28)</f>
        <v>202362.80100000001</v>
      </c>
      <c r="E28" s="26"/>
      <c r="F28" s="26"/>
      <c r="G28" s="26">
        <f>21779.77+'[3]Отпуск ЭЭ сет организациями'!$J$28+'[4]Отпуск ЭЭ сет организациями'!$J$28+'[5]Отпуск ЭЭ сет организациями'!$J$28+'[6]Отпуск ЭЭ сет организациями'!$J$28+'[7]Отпуск ЭЭ сет организациями'!$J$28+'[8]Отпуск ЭЭ сет организациями'!$J$28+'[9]Отпуск ЭЭ сет организациями'!$J$28+'[10]Отпуск ЭЭ сет организациями'!$J$28+'[11]Отпуск ЭЭ сет организациями'!$J$28+'[12]Отпуск ЭЭ сет организациями'!$J$28+'[13]Отпуск ЭЭ сет организациями'!$J$28</f>
        <v>201671.06600000002</v>
      </c>
      <c r="H28" s="27">
        <f>72.098+'[3]Отпуск ЭЭ сет организациями'!$K$28+'[4]Отпуск ЭЭ сет организациями'!$K$28+'[5]Отпуск ЭЭ сет организациями'!$K$28+'[6]Отпуск ЭЭ сет организациями'!$K$28+'[7]Отпуск ЭЭ сет организациями'!$K$28+'[8]Отпуск ЭЭ сет организациями'!$K$28+'[9]Отпуск ЭЭ сет организациями'!$K$28+'[10]Отпуск ЭЭ сет организациями'!$K$28+'[11]Отпуск ЭЭ сет организациями'!$K$28+'[12]Отпуск ЭЭ сет организациями'!$K$28+'[13]Отпуск ЭЭ сет организациями'!$K$28</f>
        <v>691.7349999999999</v>
      </c>
      <c r="I28" s="59"/>
    </row>
    <row r="29" spans="3:9" s="14" customFormat="1" ht="15">
      <c r="C29" s="24" t="s">
        <v>22</v>
      </c>
      <c r="D29" s="25">
        <f>SUM(E29:H29)</f>
        <v>965.08</v>
      </c>
      <c r="E29" s="26"/>
      <c r="F29" s="26"/>
      <c r="G29" s="26">
        <f>119.199+'[3]Отпуск ЭЭ сет организациями'!$J$29+'[4]Отпуск ЭЭ сет организациями'!$J$29+'[5]Отпуск ЭЭ сет организациями'!$J$29+'[6]Отпуск ЭЭ сет организациями'!$J$29+'[7]Отпуск ЭЭ сет организациями'!$J$29+'[8]Отпуск ЭЭ сет организациями'!$J$29+'[9]Отпуск ЭЭ сет организациями'!$J$29+'[10]Отпуск ЭЭ сет организациями'!$J$29+'[11]Отпуск ЭЭ сет организациями'!$J$29+'[12]Отпуск ЭЭ сет организациями'!$J$29+'[13]Отпуск ЭЭ сет организациями'!$J$29</f>
        <v>965.08</v>
      </c>
      <c r="H29" s="27"/>
      <c r="I29" s="59"/>
    </row>
    <row r="30" spans="3:9" s="14" customFormat="1" ht="15">
      <c r="C30" s="24" t="s">
        <v>23</v>
      </c>
      <c r="D30" s="25">
        <f>SUM(E30:H30)</f>
        <v>17.675000000000001</v>
      </c>
      <c r="E30" s="26"/>
      <c r="F30" s="26"/>
      <c r="G30" s="26"/>
      <c r="H30" s="27">
        <f>1.348+'[3]Отпуск ЭЭ сет организациями'!$K$30+'[4]Отпуск ЭЭ сет организациями'!$K$30+'[5]Отпуск ЭЭ сет организациями'!$K$30+'[6]Отпуск ЭЭ сет организациями'!$K$30+'[7]Отпуск ЭЭ сет организациями'!$K$30+'[8]Отпуск ЭЭ сет организациями'!$K$30+'[9]Отпуск ЭЭ сет организациями'!$K$30+'[10]Отпуск ЭЭ сет организациями'!$K$30+'[11]Отпуск ЭЭ сет организациями'!$K$30+'[12]Отпуск ЭЭ сет организациями'!$K$30+'[13]Отпуск ЭЭ сет организациями'!$K$30</f>
        <v>17.675000000000001</v>
      </c>
      <c r="I30" s="59"/>
    </row>
    <row r="31" spans="3:9" s="14" customFormat="1" ht="15">
      <c r="C31" s="24" t="s">
        <v>86</v>
      </c>
      <c r="D31" s="25">
        <f>SUM(E31:H31)</f>
        <v>7007.9349999999995</v>
      </c>
      <c r="E31" s="26">
        <f>849.426+'[10]Отпуск ЭЭ сет организациями'!$H$31+'[11]Отпуск ЭЭ сет организациями'!$H$31</f>
        <v>4796.6350000000002</v>
      </c>
      <c r="F31" s="26"/>
      <c r="G31" s="26">
        <f>244.48+'[3]Отпуск ЭЭ сет организациями'!$J$31+'[4]Отпуск ЭЭ сет организациями'!$J$31+'[5]Отпуск ЭЭ сет организациями'!$J$31+'[6]Отпуск ЭЭ сет организациями'!$J$31+'[7]Отпуск ЭЭ сет организациями'!$J$31+'[8]Отпуск ЭЭ сет организациями'!$J$31+'[9]Отпуск ЭЭ сет организациями'!$J$31+'[10]Отпуск ЭЭ сет организациями'!$J$31+'[11]Отпуск ЭЭ сет организациями'!$J$31+'[12]Отпуск ЭЭ сет организациями'!$J$31+'[13]Отпуск ЭЭ сет организациями'!$J$31</f>
        <v>2211.2999999999997</v>
      </c>
      <c r="H31" s="27"/>
      <c r="I31" s="59"/>
    </row>
    <row r="32" spans="3:9" s="14" customFormat="1" ht="15">
      <c r="C32" s="24" t="s">
        <v>24</v>
      </c>
      <c r="D32" s="25">
        <f>SUM(E32:H32)</f>
        <v>24427.666000000005</v>
      </c>
      <c r="E32" s="26">
        <f>1783.249+'[3]Отпуск ЭЭ сет организациями'!$H$32+'[4]Отпуск ЭЭ сет организациями'!$H$32+'[5]Отпуск ЭЭ сет организациями'!$H$32+'[6]Отпуск ЭЭ сет организациями'!$H$32+'[7]Отпуск ЭЭ сет организациями'!$H$32+'[8]Отпуск ЭЭ сет организациями'!$H$32+'[9]Отпуск ЭЭ сет организациями'!$H$32+'[10]Отпуск ЭЭ сет организациями'!$H$32+'[11]Отпуск ЭЭ сет организациями'!$H$32+'[12]Отпуск ЭЭ сет организациями'!$H$32+'[13]Отпуск ЭЭ сет организациями'!$H$32</f>
        <v>24427.666000000005</v>
      </c>
      <c r="F32" s="26"/>
      <c r="G32" s="26"/>
      <c r="H32" s="27"/>
      <c r="I32" s="59"/>
    </row>
    <row r="33" spans="3:9" s="14" customFormat="1">
      <c r="C33" s="21" t="s">
        <v>15</v>
      </c>
      <c r="D33" s="22"/>
      <c r="E33" s="22"/>
      <c r="F33" s="22"/>
      <c r="G33" s="22"/>
      <c r="H33" s="23"/>
      <c r="I33" s="59"/>
    </row>
    <row r="34" spans="3:9" s="14" customFormat="1">
      <c r="C34" s="15" t="s">
        <v>25</v>
      </c>
      <c r="D34" s="16">
        <f t="shared" si="0"/>
        <v>152321.264</v>
      </c>
      <c r="E34" s="16">
        <f>E36+E37+E38</f>
        <v>0</v>
      </c>
      <c r="F34" s="16">
        <f>F35+F37+F38</f>
        <v>0</v>
      </c>
      <c r="G34" s="16">
        <f>G35+G36+G38</f>
        <v>0</v>
      </c>
      <c r="H34" s="16">
        <f>H35+H36+H37</f>
        <v>152321.264</v>
      </c>
      <c r="I34" s="59"/>
    </row>
    <row r="35" spans="3:9" s="14" customFormat="1">
      <c r="C35" s="17" t="s">
        <v>8</v>
      </c>
      <c r="D35" s="16">
        <f t="shared" si="0"/>
        <v>750.1490000000008</v>
      </c>
      <c r="E35" s="28"/>
      <c r="F35" s="18"/>
      <c r="G35" s="18"/>
      <c r="H35" s="18">
        <f>E15-E40-E57</f>
        <v>750.1490000000008</v>
      </c>
      <c r="I35" s="59"/>
    </row>
    <row r="36" spans="3:9" s="14" customFormat="1">
      <c r="C36" s="17" t="s">
        <v>9</v>
      </c>
      <c r="D36" s="16">
        <f t="shared" si="0"/>
        <v>0</v>
      </c>
      <c r="E36" s="18"/>
      <c r="F36" s="28"/>
      <c r="G36" s="18"/>
      <c r="H36" s="18"/>
      <c r="I36" s="59"/>
    </row>
    <row r="37" spans="3:9" s="14" customFormat="1">
      <c r="C37" s="17" t="s">
        <v>10</v>
      </c>
      <c r="D37" s="16">
        <f t="shared" si="0"/>
        <v>151571.11499999999</v>
      </c>
      <c r="E37" s="18"/>
      <c r="F37" s="18"/>
      <c r="G37" s="28"/>
      <c r="H37" s="18">
        <f>G15-G40-G57</f>
        <v>151571.11499999999</v>
      </c>
      <c r="I37" s="59"/>
    </row>
    <row r="38" spans="3:9" s="14" customFormat="1">
      <c r="C38" s="17" t="s">
        <v>26</v>
      </c>
      <c r="D38" s="16">
        <f t="shared" si="0"/>
        <v>0</v>
      </c>
      <c r="E38" s="18"/>
      <c r="F38" s="18"/>
      <c r="G38" s="18"/>
      <c r="H38" s="28"/>
      <c r="I38" s="59"/>
    </row>
    <row r="39" spans="3:9" s="14" customFormat="1">
      <c r="C39" s="29" t="s">
        <v>27</v>
      </c>
      <c r="D39" s="16">
        <f t="shared" si="0"/>
        <v>0</v>
      </c>
      <c r="E39" s="18"/>
      <c r="F39" s="18"/>
      <c r="G39" s="18"/>
      <c r="H39" s="18"/>
      <c r="I39" s="59"/>
    </row>
    <row r="40" spans="3:9" s="14" customFormat="1">
      <c r="C40" s="15" t="s">
        <v>28</v>
      </c>
      <c r="D40" s="16">
        <f t="shared" si="0"/>
        <v>214853.66700000002</v>
      </c>
      <c r="E40" s="16">
        <f>E41+E43+E46+E53</f>
        <v>27109.280000000006</v>
      </c>
      <c r="F40" s="16">
        <f>F41+F43+F46+F53</f>
        <v>0</v>
      </c>
      <c r="G40" s="16">
        <f>G41+G43+G46+G53</f>
        <v>41892.469000000012</v>
      </c>
      <c r="H40" s="16">
        <f>H41+H43+H46+H53</f>
        <v>145851.91800000001</v>
      </c>
      <c r="I40" s="59"/>
    </row>
    <row r="41" spans="3:9" s="14" customFormat="1" ht="22.5">
      <c r="C41" s="17" t="s">
        <v>29</v>
      </c>
      <c r="D41" s="16">
        <f t="shared" si="0"/>
        <v>0</v>
      </c>
      <c r="E41" s="18"/>
      <c r="F41" s="18"/>
      <c r="G41" s="18"/>
      <c r="H41" s="18"/>
      <c r="I41" s="59"/>
    </row>
    <row r="42" spans="3:9" s="14" customFormat="1">
      <c r="C42" s="30" t="s">
        <v>30</v>
      </c>
      <c r="D42" s="16">
        <f t="shared" si="0"/>
        <v>0</v>
      </c>
      <c r="E42" s="18"/>
      <c r="F42" s="18"/>
      <c r="G42" s="18"/>
      <c r="H42" s="18"/>
      <c r="I42" s="59"/>
    </row>
    <row r="43" spans="3:9" s="14" customFormat="1">
      <c r="C43" s="17" t="s">
        <v>31</v>
      </c>
      <c r="D43" s="16">
        <f t="shared" si="0"/>
        <v>100871.17200000002</v>
      </c>
      <c r="E43" s="18">
        <f>SUM(E44:E45)</f>
        <v>27109.280000000006</v>
      </c>
      <c r="F43" s="18"/>
      <c r="G43" s="18">
        <f>SUM(G44:G45)</f>
        <v>37422.275000000009</v>
      </c>
      <c r="H43" s="18">
        <f>SUM(H44:H45)</f>
        <v>36339.616999999998</v>
      </c>
      <c r="I43" s="59"/>
    </row>
    <row r="44" spans="3:9" s="14" customFormat="1">
      <c r="C44" s="30" t="s">
        <v>32</v>
      </c>
      <c r="D44" s="16">
        <f t="shared" si="0"/>
        <v>100871.17200000002</v>
      </c>
      <c r="E44" s="18">
        <f>2553.488+'[3]Отпуск ЭЭ сет организациями'!$H$44+'[4]Отпуск ЭЭ сет организациями'!$H$44+'[5]Отпуск ЭЭ сет организациями'!$H$44+'[6]Отпуск ЭЭ сет организациями'!$H$44+'[7]Отпуск ЭЭ сет организациями'!$H$44+'[8]Отпуск ЭЭ сет организациями'!$H$44+'[9]Отпуск ЭЭ сет организациями'!$H$44+'[10]Отпуск ЭЭ сет организациями'!$H$44+'[11]Отпуск ЭЭ сет организациями'!$H$44+'[12]Отпуск ЭЭ сет организациями'!$H$44+'[13]Отпуск ЭЭ сет организациями'!$H$44</f>
        <v>27109.280000000006</v>
      </c>
      <c r="F44" s="18"/>
      <c r="G44" s="18">
        <f>3795.385+'[3]Отпуск ЭЭ сет организациями'!$J$44+'[4]Отпуск ЭЭ сет организациями'!$J$44+'[5]Отпуск ЭЭ сет организациями'!$J$44+'[6]Отпуск ЭЭ сет организациями'!$J$44+'[7]Отпуск ЭЭ сет организациями'!$J$44+'[8]Отпуск ЭЭ сет организациями'!$J$44+'[9]Отпуск ЭЭ сет организациями'!$J$44+'[10]Отпуск ЭЭ сет организациями'!$J$44+'[11]Отпуск ЭЭ сет организациями'!$J$44+'[12]Отпуск ЭЭ сет организациями'!$J$44+'[13]Отпуск ЭЭ сет организациями'!$J$44</f>
        <v>37422.275000000009</v>
      </c>
      <c r="H44" s="18">
        <f>3827.506+'[3]Отпуск ЭЭ сет организациями'!$K$44+'[4]Отпуск ЭЭ сет организациями'!$K$44+'[5]Отпуск ЭЭ сет организациями'!$K$44+'[6]Отпуск ЭЭ сет организациями'!$K$44+'[7]Отпуск ЭЭ сет организациями'!$K$44+'[8]Отпуск ЭЭ сет организациями'!$K$44+'[9]Отпуск ЭЭ сет организациями'!$K$44+'[10]Отпуск ЭЭ сет организациями'!$K$44+'[11]Отпуск ЭЭ сет организациями'!$K$44+'[12]Отпуск ЭЭ сет организациями'!$K$44+'[13]Отпуск ЭЭ сет организациями'!$K$44</f>
        <v>36339.616999999998</v>
      </c>
      <c r="I44" s="59"/>
    </row>
    <row r="45" spans="3:9" s="14" customFormat="1">
      <c r="C45" s="31" t="s">
        <v>30</v>
      </c>
      <c r="D45" s="16">
        <f t="shared" si="0"/>
        <v>0</v>
      </c>
      <c r="E45" s="18"/>
      <c r="F45" s="18"/>
      <c r="G45" s="18"/>
      <c r="H45" s="18"/>
      <c r="I45" s="59"/>
    </row>
    <row r="46" spans="3:9" s="14" customFormat="1">
      <c r="C46" s="17" t="s">
        <v>33</v>
      </c>
      <c r="D46" s="16">
        <f t="shared" si="0"/>
        <v>5367.9239999999991</v>
      </c>
      <c r="E46" s="16">
        <f>SUM(E47:E52)</f>
        <v>0</v>
      </c>
      <c r="F46" s="16">
        <f>SUM(F47:F52)</f>
        <v>0</v>
      </c>
      <c r="G46" s="16">
        <f>SUM(G47:G52)</f>
        <v>4350.9339999999993</v>
      </c>
      <c r="H46" s="16">
        <f>SUM(H47:H52)</f>
        <v>1016.99</v>
      </c>
      <c r="I46" s="59"/>
    </row>
    <row r="47" spans="3:9" s="14" customFormat="1">
      <c r="C47" s="19"/>
      <c r="D47" s="20"/>
      <c r="E47" s="20"/>
      <c r="F47" s="20"/>
      <c r="G47" s="20"/>
      <c r="H47" s="20"/>
      <c r="I47" s="59"/>
    </row>
    <row r="48" spans="3:9" s="14" customFormat="1" ht="15">
      <c r="C48" s="24" t="s">
        <v>21</v>
      </c>
      <c r="D48" s="25">
        <f>SUM(E48:H48)</f>
        <v>3704.5719999999992</v>
      </c>
      <c r="E48" s="26"/>
      <c r="F48" s="26"/>
      <c r="G48" s="26">
        <f>378.577+'[3]Отпуск ЭЭ сет организациями'!$J$48+'[4]Отпуск ЭЭ сет организациями'!$J$48+'[5]Отпуск ЭЭ сет организациями'!$J$48+'[6]Отпуск ЭЭ сет организациями'!$J$48+'[7]Отпуск ЭЭ сет организациями'!$J$48+'[8]Отпуск ЭЭ сет организациями'!$J$48+'[9]Отпуск ЭЭ сет организациями'!$J$48+'[10]Отпуск ЭЭ сет организациями'!$J$48+'[11]Отпуск ЭЭ сет организациями'!$J$48+'[12]Отпуск ЭЭ сет организациями'!$J$48+'[13]Отпуск ЭЭ сет организациями'!$J$48</f>
        <v>3072.7249999999995</v>
      </c>
      <c r="H48" s="27">
        <f>76.156+'[3]Отпуск ЭЭ сет организациями'!$K$48+'[4]Отпуск ЭЭ сет организациями'!$K$48+'[5]Отпуск ЭЭ сет организациями'!$K$48+'[6]Отпуск ЭЭ сет организациями'!$K$48+'[7]Отпуск ЭЭ сет организациями'!$K$48+'[8]Отпуск ЭЭ сет организациями'!$K$48+'[9]Отпуск ЭЭ сет организациями'!$K$48+'[10]Отпуск ЭЭ сет организациями'!$K$48+'[11]Отпуск ЭЭ сет организациями'!$K$48+'[12]Отпуск ЭЭ сет организациями'!$K$48+'[13]Отпуск ЭЭ сет организациями'!$K$48</f>
        <v>631.84699999999998</v>
      </c>
      <c r="I48" s="59"/>
    </row>
    <row r="49" spans="3:9" s="14" customFormat="1" ht="15">
      <c r="C49" s="24" t="s">
        <v>86</v>
      </c>
      <c r="D49" s="25">
        <f>SUM(E49:H49)</f>
        <v>1454.2249999999999</v>
      </c>
      <c r="E49" s="26"/>
      <c r="F49" s="26"/>
      <c r="G49" s="26">
        <f>128.944+'[3]Отпуск ЭЭ сет организациями'!$J$49+'[4]Отпуск ЭЭ сет организациями'!$J$49+'[5]Отпуск ЭЭ сет организациями'!$J$49+'[6]Отпуск ЭЭ сет организациями'!$J$49+'[7]Отпуск ЭЭ сет организациями'!$J$49+'[8]Отпуск ЭЭ сет организациями'!$J$49+'[9]Отпуск ЭЭ сет организациями'!$J$49+'[10]Отпуск ЭЭ сет организациями'!$J$49+'[11]Отпуск ЭЭ сет организациями'!$J$49+'[12]Отпуск ЭЭ сет организациями'!$J$49+'[13]Отпуск ЭЭ сет организациями'!$J$49</f>
        <v>1250.4399999999998</v>
      </c>
      <c r="H49" s="27">
        <f>21.125+'[3]Отпуск ЭЭ сет организациями'!$K$49+'[4]Отпуск ЭЭ сет организациями'!$K$49+'[5]Отпуск ЭЭ сет организациями'!$K$49+'[6]Отпуск ЭЭ сет организациями'!$K$49+'[7]Отпуск ЭЭ сет организациями'!$K$49+'[8]Отпуск ЭЭ сет организациями'!$K$49+'[9]Отпуск ЭЭ сет организациями'!$K$49+'[10]Отпуск ЭЭ сет организациями'!$K$49+'[11]Отпуск ЭЭ сет организациями'!$K$49+'[12]Отпуск ЭЭ сет организациями'!$K$49+'[13]Отпуск ЭЭ сет организациями'!$K$49</f>
        <v>203.785</v>
      </c>
      <c r="I49" s="59"/>
    </row>
    <row r="50" spans="3:9" s="14" customFormat="1" ht="15">
      <c r="C50" s="24" t="s">
        <v>34</v>
      </c>
      <c r="D50" s="25">
        <f>SUM(E50:H50)</f>
        <v>181.358</v>
      </c>
      <c r="E50" s="26"/>
      <c r="F50" s="26"/>
      <c r="G50" s="26"/>
      <c r="H50" s="27">
        <f>18.544+'[3]Отпуск ЭЭ сет организациями'!$K$50+'[4]Отпуск ЭЭ сет организациями'!$K$50+'[5]Отпуск ЭЭ сет организациями'!$K$50+'[6]Отпуск ЭЭ сет организациями'!$K$50+'[7]Отпуск ЭЭ сет организациями'!$K$50+'[8]Отпуск ЭЭ сет организациями'!$K$50+'[9]Отпуск ЭЭ сет организациями'!$K$50+'[10]Отпуск ЭЭ сет организациями'!$K$50+'[11]Отпуск ЭЭ сет организациями'!$K$50+'[12]Отпуск ЭЭ сет организациями'!$K$50+'[13]Отпуск ЭЭ сет организациями'!$K$50</f>
        <v>181.358</v>
      </c>
      <c r="I50" s="59"/>
    </row>
    <row r="51" spans="3:9" s="14" customFormat="1" ht="15">
      <c r="C51" s="24" t="s">
        <v>81</v>
      </c>
      <c r="D51" s="25">
        <f>SUM(E51:H51)</f>
        <v>27.768999999999998</v>
      </c>
      <c r="E51" s="26"/>
      <c r="F51" s="26"/>
      <c r="G51" s="26">
        <f>3.303+'[3]Отпуск ЭЭ сет организациями'!$J$51+'[4]Отпуск ЭЭ сет организациями'!$J$51+'[5]Отпуск ЭЭ сет организациями'!$J$51+'[6]Отпуск ЭЭ сет организациями'!$J$51+'[7]Отпуск ЭЭ сет организациями'!$J$51+'[8]Отпуск ЭЭ сет организациями'!$J$51+'[9]Отпуск ЭЭ сет организациями'!$J$51+'[10]Отпуск ЭЭ сет организациями'!$J$51+'[11]Отпуск ЭЭ сет организациями'!$J$51+'[12]Отпуск ЭЭ сет организациями'!$J$51+'[13]Отпуск ЭЭ сет организациями'!$J$51</f>
        <v>27.768999999999998</v>
      </c>
      <c r="H51" s="27"/>
      <c r="I51" s="59"/>
    </row>
    <row r="52" spans="3:9" s="14" customFormat="1">
      <c r="C52" s="21" t="s">
        <v>15</v>
      </c>
      <c r="D52" s="22"/>
      <c r="E52" s="22"/>
      <c r="F52" s="22"/>
      <c r="G52" s="22"/>
      <c r="H52" s="23"/>
      <c r="I52" s="59"/>
    </row>
    <row r="53" spans="3:9" s="14" customFormat="1">
      <c r="C53" s="32" t="s">
        <v>35</v>
      </c>
      <c r="D53" s="16">
        <f t="shared" si="0"/>
        <v>108614.571</v>
      </c>
      <c r="E53" s="18"/>
      <c r="F53" s="18"/>
      <c r="G53" s="18">
        <f>11.88+'[3]Отпуск ЭЭ сет организациями'!$J$53+'[4]Отпуск ЭЭ сет организациями'!$J$53+'[5]Отпуск ЭЭ сет организациями'!$J$53+'[6]Отпуск ЭЭ сет организациями'!$J$53+'[7]Отпуск ЭЭ сет организациями'!$J$53+'[8]Отпуск ЭЭ сет организациями'!$J$53+'[9]Отпуск ЭЭ сет организациями'!$J$53+'[10]Отпуск ЭЭ сет организациями'!$J$53+'[11]Отпуск ЭЭ сет организациями'!$J$53+'[12]Отпуск ЭЭ сет организациями'!$J$53+'[13]Отпуск ЭЭ сет организациями'!$J$53</f>
        <v>119.25999999999999</v>
      </c>
      <c r="H53" s="18">
        <v>108495.311</v>
      </c>
      <c r="I53" s="59"/>
    </row>
    <row r="54" spans="3:9" s="14" customFormat="1">
      <c r="C54" s="15" t="s">
        <v>36</v>
      </c>
      <c r="D54" s="16">
        <f t="shared" si="0"/>
        <v>152321.264</v>
      </c>
      <c r="E54" s="18">
        <f>H35</f>
        <v>750.1490000000008</v>
      </c>
      <c r="F54" s="18"/>
      <c r="G54" s="18">
        <f>H37</f>
        <v>151571.11499999999</v>
      </c>
      <c r="H54" s="18"/>
      <c r="I54" s="59"/>
    </row>
    <row r="55" spans="3:9" s="14" customFormat="1">
      <c r="C55" s="15" t="s">
        <v>37</v>
      </c>
      <c r="D55" s="16">
        <f t="shared" si="0"/>
        <v>0</v>
      </c>
      <c r="E55" s="18"/>
      <c r="F55" s="18"/>
      <c r="G55" s="18"/>
      <c r="H55" s="18"/>
      <c r="I55" s="59"/>
    </row>
    <row r="56" spans="3:9" s="14" customFormat="1">
      <c r="C56" s="15" t="s">
        <v>38</v>
      </c>
      <c r="D56" s="16">
        <f t="shared" si="0"/>
        <v>0</v>
      </c>
      <c r="E56" s="18"/>
      <c r="F56" s="18"/>
      <c r="G56" s="18"/>
      <c r="H56" s="18"/>
      <c r="I56" s="59"/>
    </row>
    <row r="57" spans="3:9" s="14" customFormat="1">
      <c r="C57" s="15" t="s">
        <v>39</v>
      </c>
      <c r="D57" s="16">
        <f t="shared" si="0"/>
        <v>24608.882999999998</v>
      </c>
      <c r="E57" s="18">
        <f>E59</f>
        <v>1364.8719999999998</v>
      </c>
      <c r="F57" s="18">
        <f>F59</f>
        <v>0</v>
      </c>
      <c r="G57" s="18">
        <f>G59</f>
        <v>15823.232</v>
      </c>
      <c r="H57" s="18">
        <f>H59</f>
        <v>7420.7789999999995</v>
      </c>
      <c r="I57" s="59"/>
    </row>
    <row r="58" spans="3:9" s="14" customFormat="1">
      <c r="C58" s="17" t="s">
        <v>40</v>
      </c>
      <c r="D58" s="16">
        <f t="shared" si="0"/>
        <v>0</v>
      </c>
      <c r="E58" s="18"/>
      <c r="F58" s="18"/>
      <c r="G58" s="18"/>
      <c r="H58" s="18"/>
      <c r="I58" s="59"/>
    </row>
    <row r="59" spans="3:9" s="14" customFormat="1">
      <c r="C59" s="15" t="s">
        <v>41</v>
      </c>
      <c r="D59" s="16">
        <f t="shared" si="0"/>
        <v>24608.882999999998</v>
      </c>
      <c r="E59" s="18">
        <f>60.643+'[3]Отпуск ЭЭ сет организациями'!$H$59+'[4]Отпуск ЭЭ сет организациями'!$H$59+'[5]Отпуск ЭЭ сет организациями'!$H$59+'[6]Отпуск ЭЭ сет организациями'!$H$59+'[7]Отпуск ЭЭ сет организациями'!$H$59+'[8]Отпуск ЭЭ сет организациями'!$H$59+'[9]Отпуск ЭЭ сет организациями'!$H$59+'[10]Отпуск ЭЭ сет организациями'!$H$59+'[11]Отпуск ЭЭ сет организациями'!$H$59+'[12]Отпуск ЭЭ сет организациями'!$H$59+'[13]Отпуск ЭЭ сет организациями'!$H$59</f>
        <v>1364.8719999999998</v>
      </c>
      <c r="F59" s="18"/>
      <c r="G59" s="18">
        <f>2016.967+'[3]Отпуск ЭЭ сет организациями'!$J$59+'[4]Отпуск ЭЭ сет организациями'!$J$59+'[5]Отпуск ЭЭ сет организациями'!$J$59+'[6]Отпуск ЭЭ сет организациями'!$J$59+'[7]Отпуск ЭЭ сет организациями'!$J$59+'[8]Отпуск ЭЭ сет организациями'!$J$59+'[9]Отпуск ЭЭ сет организациями'!$J$59+'[10]Отпуск ЭЭ сет организациями'!$J$59+'[11]Отпуск ЭЭ сет организациями'!$J$59+'[12]Отпуск ЭЭ сет организациями'!$J$59+'[13]Отпуск ЭЭ сет организациями'!$J$59</f>
        <v>15823.232</v>
      </c>
      <c r="H59" s="18">
        <f>1504.11+'[3]Отпуск ЭЭ сет организациями'!$K$59+'[4]Отпуск ЭЭ сет организациями'!$K$59+'[5]Отпуск ЭЭ сет организациями'!$K$59+'[6]Отпуск ЭЭ сет организациями'!$K$59+'[7]Отпуск ЭЭ сет организациями'!$K$59+'[8]Отпуск ЭЭ сет организациями'!$K$59+'[9]Отпуск ЭЭ сет организациями'!$K$59+'[10]Отпуск ЭЭ сет организациями'!$K$59+'[11]Отпуск ЭЭ сет организациями'!$K$59+'[12]Отпуск ЭЭ сет организациями'!$K$59+'[13]Отпуск ЭЭ сет организациями'!$K$59</f>
        <v>7420.7789999999995</v>
      </c>
      <c r="I59" s="59"/>
    </row>
    <row r="60" spans="3:9" s="14" customFormat="1" ht="22.5">
      <c r="C60" s="29" t="s">
        <v>42</v>
      </c>
      <c r="D60" s="16">
        <f t="shared" si="0"/>
        <v>0</v>
      </c>
      <c r="E60" s="16">
        <f>E57-E59</f>
        <v>0</v>
      </c>
      <c r="F60" s="16">
        <f>F57-F59</f>
        <v>0</v>
      </c>
      <c r="G60" s="16">
        <f>G57-G59</f>
        <v>0</v>
      </c>
      <c r="H60" s="16">
        <f>H57-H59</f>
        <v>0</v>
      </c>
      <c r="I60" s="59"/>
    </row>
    <row r="61" spans="3:9" s="14" customFormat="1">
      <c r="C61" s="44" t="s">
        <v>87</v>
      </c>
      <c r="D61" s="16">
        <v>37.35</v>
      </c>
      <c r="E61" s="16"/>
      <c r="F61" s="16"/>
      <c r="G61" s="16"/>
      <c r="H61" s="16"/>
    </row>
    <row r="62" spans="3:9" s="14" customFormat="1">
      <c r="C62" s="47" t="s">
        <v>80</v>
      </c>
      <c r="D62" s="16">
        <v>18.28</v>
      </c>
      <c r="E62" s="16"/>
      <c r="F62" s="16"/>
      <c r="G62" s="16"/>
      <c r="H62" s="16"/>
    </row>
    <row r="63" spans="3:9" s="14" customFormat="1">
      <c r="C63" s="15" t="s">
        <v>43</v>
      </c>
      <c r="D63" s="16">
        <f t="shared" si="0"/>
        <v>0</v>
      </c>
      <c r="E63" s="16">
        <f>(E15+E34+E39)-(E40+E54+E55+E56+E57)</f>
        <v>0</v>
      </c>
      <c r="F63" s="16">
        <f>(F15+F34+F39)-(F40+F54+F55+F56+F57)</f>
        <v>0</v>
      </c>
      <c r="G63" s="16">
        <f>(G15+G34+G39)-(G40+G54+G55+G56+G57)</f>
        <v>0</v>
      </c>
      <c r="H63" s="16">
        <f>(H15+H34+H39)-(H40+H54+H55+H56+H57)</f>
        <v>0</v>
      </c>
      <c r="I63" s="59"/>
    </row>
    <row r="64" spans="3:9" s="14" customFormat="1">
      <c r="C64" s="56"/>
      <c r="D64" s="56"/>
      <c r="E64" s="56"/>
      <c r="F64" s="56"/>
      <c r="G64" s="56"/>
      <c r="H64" s="57"/>
      <c r="I64" s="59"/>
    </row>
    <row r="65" spans="3:9" s="14" customFormat="1">
      <c r="C65" s="15" t="s">
        <v>12</v>
      </c>
      <c r="D65" s="16">
        <f t="shared" si="0"/>
        <v>45821.383467278996</v>
      </c>
      <c r="E65" s="16">
        <f>E66+E67+E70+E76</f>
        <v>5592.0973976272489</v>
      </c>
      <c r="F65" s="16">
        <f>F66+F67+F70+F76</f>
        <v>0</v>
      </c>
      <c r="G65" s="16">
        <f>G66+G67+G70+G76</f>
        <v>40047.228473019524</v>
      </c>
      <c r="H65" s="16">
        <f>H66+H67+H70+H76</f>
        <v>182.05759663222349</v>
      </c>
      <c r="I65" s="59"/>
    </row>
    <row r="66" spans="3:9" s="14" customFormat="1">
      <c r="C66" s="17" t="s">
        <v>13</v>
      </c>
      <c r="D66" s="16">
        <f t="shared" si="0"/>
        <v>0</v>
      </c>
      <c r="E66" s="18"/>
      <c r="F66" s="18"/>
      <c r="G66" s="18"/>
      <c r="H66" s="18"/>
      <c r="I66" s="59"/>
    </row>
    <row r="67" spans="3:9" s="14" customFormat="1">
      <c r="C67" s="17" t="s">
        <v>14</v>
      </c>
      <c r="D67" s="16">
        <f t="shared" si="0"/>
        <v>0</v>
      </c>
      <c r="E67" s="16">
        <f>SUM(E68:E69)</f>
        <v>0</v>
      </c>
      <c r="F67" s="16">
        <f>SUM(F68:F69)</f>
        <v>0</v>
      </c>
      <c r="G67" s="16">
        <f>SUM(G68:G69)</f>
        <v>0</v>
      </c>
      <c r="H67" s="16">
        <f>SUM(H68:H69)</f>
        <v>0</v>
      </c>
      <c r="I67" s="59"/>
    </row>
    <row r="68" spans="3:9" s="14" customFormat="1">
      <c r="C68" s="19"/>
      <c r="D68" s="20"/>
      <c r="E68" s="20"/>
      <c r="F68" s="20"/>
      <c r="G68" s="20"/>
      <c r="H68" s="20"/>
      <c r="I68" s="59"/>
    </row>
    <row r="69" spans="3:9" s="14" customFormat="1">
      <c r="C69" s="21" t="s">
        <v>15</v>
      </c>
      <c r="D69" s="22"/>
      <c r="E69" s="22"/>
      <c r="F69" s="22"/>
      <c r="G69" s="22"/>
      <c r="H69" s="23"/>
      <c r="I69" s="59"/>
    </row>
    <row r="70" spans="3:9" s="14" customFormat="1">
      <c r="C70" s="17" t="s">
        <v>16</v>
      </c>
      <c r="D70" s="16">
        <f t="shared" si="0"/>
        <v>895.78893991580571</v>
      </c>
      <c r="E70" s="16">
        <f>SUM(E71:E75)</f>
        <v>0</v>
      </c>
      <c r="F70" s="16">
        <f>SUM(F71:F75)</f>
        <v>0</v>
      </c>
      <c r="G70" s="16">
        <f>SUM(G71:G75)</f>
        <v>849.47761194029863</v>
      </c>
      <c r="H70" s="16">
        <f>SUM(H71:H75)</f>
        <v>46.311327975507083</v>
      </c>
      <c r="I70" s="59"/>
    </row>
    <row r="71" spans="3:9" s="14" customFormat="1">
      <c r="C71" s="19"/>
      <c r="D71" s="20"/>
      <c r="E71" s="20"/>
      <c r="F71" s="20"/>
      <c r="G71" s="20"/>
      <c r="H71" s="20"/>
      <c r="I71" s="59"/>
    </row>
    <row r="72" spans="3:9" s="14" customFormat="1" ht="15">
      <c r="C72" s="24" t="s">
        <v>17</v>
      </c>
      <c r="D72" s="25">
        <f>SUM(E72:H72)</f>
        <v>56.931687715269803</v>
      </c>
      <c r="E72" s="26"/>
      <c r="F72" s="26"/>
      <c r="G72" s="26">
        <f>G22/5.226</f>
        <v>56.931687715269803</v>
      </c>
      <c r="H72" s="27"/>
      <c r="I72" s="59"/>
    </row>
    <row r="73" spans="3:9" s="14" customFormat="1" ht="30">
      <c r="C73" s="24" t="s">
        <v>18</v>
      </c>
      <c r="D73" s="25">
        <f>SUM(E73:H73)</f>
        <v>792.54592422502878</v>
      </c>
      <c r="E73" s="26"/>
      <c r="F73" s="26"/>
      <c r="G73" s="26">
        <f>G23/5.226</f>
        <v>792.54592422502878</v>
      </c>
      <c r="H73" s="27"/>
      <c r="I73" s="59"/>
    </row>
    <row r="74" spans="3:9" s="14" customFormat="1" ht="30">
      <c r="C74" s="24" t="s">
        <v>19</v>
      </c>
      <c r="D74" s="25">
        <f>SUM(E74:H74)</f>
        <v>46.311327975507083</v>
      </c>
      <c r="E74" s="26"/>
      <c r="F74" s="26"/>
      <c r="G74" s="26"/>
      <c r="H74" s="27">
        <f>H24/5.226</f>
        <v>46.311327975507083</v>
      </c>
      <c r="I74" s="59"/>
    </row>
    <row r="75" spans="3:9" s="14" customFormat="1">
      <c r="C75" s="21" t="s">
        <v>15</v>
      </c>
      <c r="D75" s="22"/>
      <c r="E75" s="22"/>
      <c r="F75" s="22"/>
      <c r="G75" s="22"/>
      <c r="H75" s="23"/>
      <c r="I75" s="59"/>
    </row>
    <row r="76" spans="3:9" s="14" customFormat="1">
      <c r="C76" s="17" t="s">
        <v>20</v>
      </c>
      <c r="D76" s="16">
        <f t="shared" si="0"/>
        <v>44925.594527363195</v>
      </c>
      <c r="E76" s="16">
        <f>SUM(E77:E83)</f>
        <v>5592.0973976272489</v>
      </c>
      <c r="F76" s="16">
        <f>SUM(F77:F83)</f>
        <v>0</v>
      </c>
      <c r="G76" s="16">
        <f>SUM(G77:G83)</f>
        <v>39197.750861079228</v>
      </c>
      <c r="H76" s="16">
        <f>SUM(H77:H83)</f>
        <v>135.74626865671641</v>
      </c>
      <c r="I76" s="59"/>
    </row>
    <row r="77" spans="3:9" s="14" customFormat="1">
      <c r="C77" s="19"/>
      <c r="D77" s="20"/>
      <c r="E77" s="20"/>
      <c r="F77" s="20"/>
      <c r="G77" s="20"/>
      <c r="H77" s="20"/>
      <c r="I77" s="59"/>
    </row>
    <row r="78" spans="3:9" s="14" customFormat="1" ht="15">
      <c r="C78" s="24" t="s">
        <v>21</v>
      </c>
      <c r="D78" s="25">
        <f>SUM(E78:H78)</f>
        <v>38722.311710677386</v>
      </c>
      <c r="E78" s="26"/>
      <c r="F78" s="26"/>
      <c r="G78" s="26">
        <f>G28/5.226</f>
        <v>38589.947569843098</v>
      </c>
      <c r="H78" s="27">
        <f>H28/5.226</f>
        <v>132.36414083429008</v>
      </c>
      <c r="I78" s="59"/>
    </row>
    <row r="79" spans="3:9" s="14" customFormat="1" ht="15">
      <c r="C79" s="24" t="s">
        <v>22</v>
      </c>
      <c r="D79" s="25">
        <f>SUM(E79:H79)</f>
        <v>184.66896287791812</v>
      </c>
      <c r="E79" s="26"/>
      <c r="F79" s="26"/>
      <c r="G79" s="26">
        <f>G29/5.226</f>
        <v>184.66896287791812</v>
      </c>
      <c r="H79" s="27"/>
      <c r="I79" s="59"/>
    </row>
    <row r="80" spans="3:9" s="14" customFormat="1" ht="15">
      <c r="C80" s="24" t="s">
        <v>23</v>
      </c>
      <c r="D80" s="25">
        <f>SUM(E80:H80)</f>
        <v>3.3821278224263303</v>
      </c>
      <c r="E80" s="26"/>
      <c r="F80" s="26"/>
      <c r="G80" s="26"/>
      <c r="H80" s="27">
        <f>H30/5.226</f>
        <v>3.3821278224263303</v>
      </c>
      <c r="I80" s="59"/>
    </row>
    <row r="81" spans="3:9" s="14" customFormat="1" ht="15">
      <c r="C81" s="24" t="s">
        <v>86</v>
      </c>
      <c r="D81" s="25">
        <f>SUM(E81:H81)</f>
        <v>1340.9749330271718</v>
      </c>
      <c r="E81" s="26">
        <f>E31/5.226</f>
        <v>917.8406046689629</v>
      </c>
      <c r="F81" s="26"/>
      <c r="G81" s="26">
        <f>G31/5.226</f>
        <v>423.1343283582089</v>
      </c>
      <c r="H81" s="27"/>
      <c r="I81" s="59"/>
    </row>
    <row r="82" spans="3:9" s="14" customFormat="1" ht="15">
      <c r="C82" s="24" t="s">
        <v>24</v>
      </c>
      <c r="D82" s="25">
        <f>SUM(E82:H82)</f>
        <v>4674.2567929582865</v>
      </c>
      <c r="E82" s="26">
        <f>E32/5.226</f>
        <v>4674.2567929582865</v>
      </c>
      <c r="F82" s="26"/>
      <c r="G82" s="26"/>
      <c r="H82" s="27"/>
      <c r="I82" s="59"/>
    </row>
    <row r="83" spans="3:9" s="14" customFormat="1">
      <c r="C83" s="21" t="s">
        <v>15</v>
      </c>
      <c r="D83" s="22"/>
      <c r="E83" s="22"/>
      <c r="F83" s="22"/>
      <c r="G83" s="22"/>
      <c r="H83" s="23"/>
      <c r="I83" s="59"/>
    </row>
    <row r="84" spans="3:9" s="14" customFormat="1">
      <c r="C84" s="15" t="s">
        <v>25</v>
      </c>
      <c r="D84" s="16">
        <f t="shared" si="0"/>
        <v>29146.816685801758</v>
      </c>
      <c r="E84" s="16">
        <f>E86+E87+E88</f>
        <v>0</v>
      </c>
      <c r="F84" s="16">
        <f>F85+F87+F88</f>
        <v>0</v>
      </c>
      <c r="G84" s="16">
        <f>G85+G86+G88</f>
        <v>0</v>
      </c>
      <c r="H84" s="16">
        <f>H85+H86+H87</f>
        <v>29146.816685801758</v>
      </c>
      <c r="I84" s="59"/>
    </row>
    <row r="85" spans="3:9" s="14" customFormat="1">
      <c r="C85" s="17" t="s">
        <v>8</v>
      </c>
      <c r="D85" s="16">
        <f t="shared" si="0"/>
        <v>143.54171450440123</v>
      </c>
      <c r="E85" s="28"/>
      <c r="F85" s="18"/>
      <c r="G85" s="18"/>
      <c r="H85" s="18">
        <f>H35/5.226</f>
        <v>143.54171450440123</v>
      </c>
      <c r="I85" s="59"/>
    </row>
    <row r="86" spans="3:9" s="14" customFormat="1">
      <c r="C86" s="17" t="s">
        <v>9</v>
      </c>
      <c r="D86" s="16">
        <f t="shared" si="0"/>
        <v>0</v>
      </c>
      <c r="E86" s="18"/>
      <c r="F86" s="33"/>
      <c r="G86" s="18"/>
      <c r="H86" s="18"/>
      <c r="I86" s="59"/>
    </row>
    <row r="87" spans="3:9" s="14" customFormat="1">
      <c r="C87" s="17" t="s">
        <v>10</v>
      </c>
      <c r="D87" s="16">
        <f t="shared" si="0"/>
        <v>29003.274971297356</v>
      </c>
      <c r="E87" s="18"/>
      <c r="F87" s="18"/>
      <c r="G87" s="28"/>
      <c r="H87" s="18">
        <f>H37/5.226</f>
        <v>29003.274971297356</v>
      </c>
      <c r="I87" s="59"/>
    </row>
    <row r="88" spans="3:9" s="14" customFormat="1">
      <c r="C88" s="17" t="s">
        <v>26</v>
      </c>
      <c r="D88" s="16">
        <f t="shared" si="0"/>
        <v>0</v>
      </c>
      <c r="E88" s="18"/>
      <c r="F88" s="18"/>
      <c r="G88" s="18"/>
      <c r="H88" s="28"/>
      <c r="I88" s="59"/>
    </row>
    <row r="89" spans="3:9" s="14" customFormat="1">
      <c r="C89" s="29" t="s">
        <v>27</v>
      </c>
      <c r="D89" s="16">
        <f t="shared" si="0"/>
        <v>0</v>
      </c>
      <c r="E89" s="18"/>
      <c r="F89" s="18"/>
      <c r="G89" s="18"/>
      <c r="H89" s="18"/>
      <c r="I89" s="59"/>
    </row>
    <row r="90" spans="3:9" s="14" customFormat="1">
      <c r="C90" s="15" t="s">
        <v>28</v>
      </c>
      <c r="D90" s="16">
        <f t="shared" si="0"/>
        <v>41112.450631458094</v>
      </c>
      <c r="E90" s="16">
        <f>E91+E93+E96+E103</f>
        <v>5187.3861461921178</v>
      </c>
      <c r="F90" s="16">
        <f>F91+F93+F96+F103</f>
        <v>0</v>
      </c>
      <c r="G90" s="16">
        <f>G91+G93+G96+G103</f>
        <v>8016.1632223497918</v>
      </c>
      <c r="H90" s="16">
        <f>H91+H93+H96+H103</f>
        <v>27908.901262916188</v>
      </c>
      <c r="I90" s="59"/>
    </row>
    <row r="91" spans="3:9" s="14" customFormat="1" ht="22.5">
      <c r="C91" s="17" t="s">
        <v>29</v>
      </c>
      <c r="D91" s="16">
        <f t="shared" si="0"/>
        <v>0</v>
      </c>
      <c r="E91" s="18"/>
      <c r="F91" s="18"/>
      <c r="G91" s="18"/>
      <c r="H91" s="18"/>
      <c r="I91" s="59"/>
    </row>
    <row r="92" spans="3:9" s="14" customFormat="1">
      <c r="C92" s="30" t="s">
        <v>30</v>
      </c>
      <c r="D92" s="16">
        <f t="shared" si="0"/>
        <v>0</v>
      </c>
      <c r="E92" s="18"/>
      <c r="F92" s="18"/>
      <c r="G92" s="18"/>
      <c r="H92" s="18"/>
      <c r="I92" s="59"/>
    </row>
    <row r="93" spans="3:9" s="14" customFormat="1">
      <c r="C93" s="17" t="s">
        <v>31</v>
      </c>
      <c r="D93" s="16">
        <f t="shared" si="0"/>
        <v>19301.793340987373</v>
      </c>
      <c r="E93" s="18">
        <f>SUM(E94)</f>
        <v>5187.3861461921178</v>
      </c>
      <c r="F93" s="18"/>
      <c r="G93" s="18">
        <f>SUM(G94:G95)</f>
        <v>7160.7874091083067</v>
      </c>
      <c r="H93" s="18">
        <f>SUM(H94:H95)</f>
        <v>6953.6197856869494</v>
      </c>
      <c r="I93" s="59"/>
    </row>
    <row r="94" spans="3:9" s="14" customFormat="1">
      <c r="C94" s="30" t="s">
        <v>32</v>
      </c>
      <c r="D94" s="16">
        <f t="shared" si="0"/>
        <v>19301.793340987373</v>
      </c>
      <c r="E94" s="18">
        <f>E44/5.226</f>
        <v>5187.3861461921178</v>
      </c>
      <c r="F94" s="18"/>
      <c r="G94" s="18">
        <f>G44/5.226</f>
        <v>7160.7874091083067</v>
      </c>
      <c r="H94" s="18">
        <f>H44/5.226</f>
        <v>6953.6197856869494</v>
      </c>
      <c r="I94" s="59"/>
    </row>
    <row r="95" spans="3:9" s="14" customFormat="1">
      <c r="C95" s="31" t="s">
        <v>30</v>
      </c>
      <c r="D95" s="16">
        <f t="shared" si="0"/>
        <v>0</v>
      </c>
      <c r="E95" s="18"/>
      <c r="F95" s="18"/>
      <c r="G95" s="18"/>
      <c r="H95" s="18"/>
      <c r="I95" s="59"/>
    </row>
    <row r="96" spans="3:9" s="14" customFormat="1">
      <c r="C96" s="17" t="s">
        <v>33</v>
      </c>
      <c r="D96" s="16">
        <f t="shared" si="0"/>
        <v>1027.1572904707232</v>
      </c>
      <c r="E96" s="16">
        <f>SUM(E97:E102)</f>
        <v>0</v>
      </c>
      <c r="F96" s="16">
        <f>SUM(F97:F102)</f>
        <v>0</v>
      </c>
      <c r="G96" s="16">
        <f>SUM(G97:G102)</f>
        <v>832.55530042097189</v>
      </c>
      <c r="H96" s="16">
        <f>SUM(H97:H102)</f>
        <v>194.60199004975127</v>
      </c>
      <c r="I96" s="59"/>
    </row>
    <row r="97" spans="3:9" s="14" customFormat="1">
      <c r="C97" s="19"/>
      <c r="D97" s="20"/>
      <c r="E97" s="20"/>
      <c r="F97" s="20"/>
      <c r="G97" s="20"/>
      <c r="H97" s="20"/>
      <c r="I97" s="59"/>
    </row>
    <row r="98" spans="3:9" s="14" customFormat="1" ht="15">
      <c r="C98" s="24" t="s">
        <v>21</v>
      </c>
      <c r="D98" s="25">
        <f>SUM(E98:H98)</f>
        <v>708.8733256792957</v>
      </c>
      <c r="E98" s="26"/>
      <c r="F98" s="26"/>
      <c r="G98" s="26">
        <f>G48/5.226</f>
        <v>587.96880979716786</v>
      </c>
      <c r="H98" s="27">
        <f>H48/5.226</f>
        <v>120.90451588212782</v>
      </c>
      <c r="I98" s="59"/>
    </row>
    <row r="99" spans="3:9" s="14" customFormat="1" ht="15">
      <c r="C99" s="24" t="s">
        <v>86</v>
      </c>
      <c r="D99" s="25">
        <f>SUM(E99:H99)</f>
        <v>278.26731725985451</v>
      </c>
      <c r="E99" s="26"/>
      <c r="F99" s="26"/>
      <c r="G99" s="26">
        <f>G49/5.226</f>
        <v>239.27286643704551</v>
      </c>
      <c r="H99" s="27">
        <f>H49/5.226</f>
        <v>38.994450822809029</v>
      </c>
      <c r="I99" s="59"/>
    </row>
    <row r="100" spans="3:9" s="14" customFormat="1" ht="15">
      <c r="C100" s="24" t="s">
        <v>34</v>
      </c>
      <c r="D100" s="25">
        <f>SUM(E100:H100)</f>
        <v>34.70302334481439</v>
      </c>
      <c r="E100" s="26"/>
      <c r="F100" s="26"/>
      <c r="G100" s="26"/>
      <c r="H100" s="27">
        <f>H50/5.226</f>
        <v>34.70302334481439</v>
      </c>
      <c r="I100" s="59"/>
    </row>
    <row r="101" spans="3:9" s="14" customFormat="1" ht="15">
      <c r="C101" s="24" t="s">
        <v>81</v>
      </c>
      <c r="D101" s="25">
        <f>SUM(E101:H101)</f>
        <v>5.3136241867585152</v>
      </c>
      <c r="E101" s="26"/>
      <c r="F101" s="26"/>
      <c r="G101" s="26">
        <f>G51/5.226</f>
        <v>5.3136241867585152</v>
      </c>
      <c r="H101" s="27"/>
      <c r="I101" s="59"/>
    </row>
    <row r="102" spans="3:9" s="14" customFormat="1">
      <c r="C102" s="21" t="s">
        <v>15</v>
      </c>
      <c r="D102" s="22"/>
      <c r="E102" s="22"/>
      <c r="F102" s="22"/>
      <c r="G102" s="22"/>
      <c r="H102" s="23"/>
      <c r="I102" s="59"/>
    </row>
    <row r="103" spans="3:9" s="14" customFormat="1">
      <c r="C103" s="32" t="s">
        <v>35</v>
      </c>
      <c r="D103" s="16">
        <f t="shared" si="0"/>
        <v>20783.5</v>
      </c>
      <c r="E103" s="18"/>
      <c r="F103" s="18"/>
      <c r="G103" s="18">
        <f>G53/5.226</f>
        <v>22.820512820512818</v>
      </c>
      <c r="H103" s="18">
        <f>H53/5.226</f>
        <v>20760.679487179488</v>
      </c>
      <c r="I103" s="59"/>
    </row>
    <row r="104" spans="3:9" s="14" customFormat="1">
      <c r="C104" s="15" t="s">
        <v>36</v>
      </c>
      <c r="D104" s="16">
        <f t="shared" si="0"/>
        <v>29146.816685801758</v>
      </c>
      <c r="E104" s="18">
        <f>H85</f>
        <v>143.54171450440123</v>
      </c>
      <c r="F104" s="18"/>
      <c r="G104" s="18">
        <f>H87</f>
        <v>29003.274971297356</v>
      </c>
      <c r="H104" s="18"/>
      <c r="I104" s="59"/>
    </row>
    <row r="105" spans="3:9" s="14" customFormat="1">
      <c r="C105" s="15" t="s">
        <v>37</v>
      </c>
      <c r="D105" s="16">
        <f t="shared" si="0"/>
        <v>0</v>
      </c>
      <c r="E105" s="18"/>
      <c r="F105" s="18"/>
      <c r="G105" s="18"/>
      <c r="H105" s="18"/>
      <c r="I105" s="59"/>
    </row>
    <row r="106" spans="3:9" s="14" customFormat="1">
      <c r="C106" s="15" t="s">
        <v>38</v>
      </c>
      <c r="D106" s="16">
        <f t="shared" si="0"/>
        <v>0</v>
      </c>
      <c r="E106" s="18"/>
      <c r="F106" s="18"/>
      <c r="G106" s="18"/>
      <c r="H106" s="18"/>
      <c r="I106" s="59"/>
    </row>
    <row r="107" spans="3:9" s="14" customFormat="1">
      <c r="C107" s="15" t="s">
        <v>39</v>
      </c>
      <c r="D107" s="16">
        <f t="shared" si="0"/>
        <v>4708.932835820895</v>
      </c>
      <c r="E107" s="18">
        <f>E57/5.226</f>
        <v>261.16953693073094</v>
      </c>
      <c r="F107" s="18">
        <f>F109</f>
        <v>0</v>
      </c>
      <c r="G107" s="18">
        <f>G57/5.226</f>
        <v>3027.7902793723688</v>
      </c>
      <c r="H107" s="18">
        <f>H57/5.226</f>
        <v>1419.9730195177956</v>
      </c>
      <c r="I107" s="59"/>
    </row>
    <row r="108" spans="3:9" s="14" customFormat="1">
      <c r="C108" s="17" t="s">
        <v>44</v>
      </c>
      <c r="D108" s="16">
        <f t="shared" si="0"/>
        <v>0</v>
      </c>
      <c r="E108" s="18"/>
      <c r="F108" s="18"/>
      <c r="G108" s="18"/>
      <c r="H108" s="18"/>
      <c r="I108" s="59"/>
    </row>
    <row r="109" spans="3:9" s="14" customFormat="1">
      <c r="C109" s="15" t="s">
        <v>41</v>
      </c>
      <c r="D109" s="16">
        <f t="shared" si="0"/>
        <v>4708.932835820895</v>
      </c>
      <c r="E109" s="18">
        <f>E59/5.226</f>
        <v>261.16953693073094</v>
      </c>
      <c r="F109" s="18"/>
      <c r="G109" s="18">
        <f>G59/5.226</f>
        <v>3027.7902793723688</v>
      </c>
      <c r="H109" s="18">
        <f>H59/5.226</f>
        <v>1419.9730195177956</v>
      </c>
      <c r="I109" s="59"/>
    </row>
    <row r="110" spans="3:9" s="14" customFormat="1" ht="22.5">
      <c r="C110" s="29" t="s">
        <v>42</v>
      </c>
      <c r="D110" s="16">
        <f t="shared" si="0"/>
        <v>0</v>
      </c>
      <c r="E110" s="16">
        <f>E107-E109</f>
        <v>0</v>
      </c>
      <c r="F110" s="16">
        <f>F107-F109</f>
        <v>0</v>
      </c>
      <c r="G110" s="16">
        <f>G107-G109</f>
        <v>0</v>
      </c>
      <c r="H110" s="16">
        <f>H107-H109</f>
        <v>0</v>
      </c>
      <c r="I110" s="59"/>
    </row>
    <row r="111" spans="3:9" s="14" customFormat="1">
      <c r="C111" s="15" t="s">
        <v>43</v>
      </c>
      <c r="D111" s="16">
        <f t="shared" si="0"/>
        <v>0</v>
      </c>
      <c r="E111" s="16">
        <f>(E65+E84+E89)-(E90+E104+E105+E106+E107)</f>
        <v>0</v>
      </c>
      <c r="F111" s="16">
        <f>(F65+F84+F89)-(F90+F104+F105+F106+F107)</f>
        <v>0</v>
      </c>
      <c r="G111" s="16">
        <f>(G65+G84+G89)-(G90+G104+G105+G106+G107)</f>
        <v>0</v>
      </c>
      <c r="H111" s="16">
        <f>(H65+H84+H89)-(H90+H104+H105+H106+H107)</f>
        <v>0</v>
      </c>
      <c r="I111" s="59"/>
    </row>
    <row r="112" spans="3:9" s="14" customFormat="1">
      <c r="C112" s="56"/>
      <c r="D112" s="56"/>
      <c r="E112" s="56"/>
      <c r="F112" s="56"/>
      <c r="G112" s="56"/>
      <c r="H112" s="57"/>
      <c r="I112" s="59"/>
    </row>
    <row r="113" spans="3:9" s="14" customFormat="1">
      <c r="C113" s="15" t="s">
        <v>45</v>
      </c>
      <c r="D113" s="16">
        <f t="shared" si="0"/>
        <v>41.11</v>
      </c>
      <c r="E113" s="18"/>
      <c r="F113" s="18"/>
      <c r="G113" s="34">
        <v>9.19</v>
      </c>
      <c r="H113" s="34">
        <v>31.92</v>
      </c>
      <c r="I113" s="59"/>
    </row>
    <row r="114" spans="3:9" s="14" customFormat="1">
      <c r="C114" s="15" t="s">
        <v>46</v>
      </c>
      <c r="D114" s="16">
        <f t="shared" si="0"/>
        <v>0</v>
      </c>
      <c r="E114" s="18"/>
      <c r="F114" s="18"/>
      <c r="G114" s="18"/>
      <c r="H114" s="18"/>
      <c r="I114" s="59"/>
    </row>
    <row r="115" spans="3:9" s="14" customFormat="1">
      <c r="C115" s="15" t="s">
        <v>47</v>
      </c>
      <c r="D115" s="16">
        <f t="shared" si="0"/>
        <v>0</v>
      </c>
      <c r="E115" s="18"/>
      <c r="F115" s="18"/>
      <c r="G115" s="18"/>
      <c r="H115" s="18"/>
      <c r="I115" s="59"/>
    </row>
    <row r="116" spans="3:9" s="14" customFormat="1">
      <c r="C116" s="56"/>
      <c r="D116" s="56"/>
      <c r="E116" s="56"/>
      <c r="F116" s="56"/>
      <c r="G116" s="56"/>
      <c r="H116" s="57"/>
      <c r="I116" s="59"/>
    </row>
    <row r="117" spans="3:9" s="14" customFormat="1">
      <c r="C117" s="15" t="s">
        <v>48</v>
      </c>
      <c r="D117" s="16">
        <f t="shared" si="0"/>
        <v>0</v>
      </c>
      <c r="E117" s="16">
        <f>SUM(E118:E119)</f>
        <v>0</v>
      </c>
      <c r="F117" s="16">
        <f>SUM(F118:F119)</f>
        <v>0</v>
      </c>
      <c r="G117" s="16">
        <f>SUM(G118:G119)</f>
        <v>0</v>
      </c>
      <c r="H117" s="16">
        <f>SUM(H118:H119)</f>
        <v>0</v>
      </c>
      <c r="I117" s="59"/>
    </row>
    <row r="118" spans="3:9">
      <c r="C118" s="17" t="s">
        <v>49</v>
      </c>
      <c r="D118" s="16">
        <f t="shared" si="0"/>
        <v>0</v>
      </c>
      <c r="E118" s="34"/>
      <c r="F118" s="34"/>
      <c r="G118" s="34"/>
      <c r="H118" s="34"/>
      <c r="I118" s="58"/>
    </row>
    <row r="119" spans="3:9">
      <c r="C119" s="17" t="s">
        <v>50</v>
      </c>
      <c r="D119" s="16">
        <f t="shared" si="0"/>
        <v>0</v>
      </c>
      <c r="E119" s="35">
        <f>E122</f>
        <v>0</v>
      </c>
      <c r="F119" s="35">
        <f>F122</f>
        <v>0</v>
      </c>
      <c r="G119" s="35">
        <f>G122</f>
        <v>0</v>
      </c>
      <c r="H119" s="35">
        <f>H122</f>
        <v>0</v>
      </c>
      <c r="I119" s="58"/>
    </row>
    <row r="120" spans="3:9">
      <c r="C120" s="30" t="s">
        <v>51</v>
      </c>
      <c r="D120" s="16">
        <f t="shared" si="0"/>
        <v>0</v>
      </c>
      <c r="E120" s="34"/>
      <c r="F120" s="34"/>
      <c r="G120" s="34"/>
      <c r="H120" s="34"/>
      <c r="I120" s="58"/>
    </row>
    <row r="121" spans="3:9">
      <c r="C121" s="31" t="s">
        <v>52</v>
      </c>
      <c r="D121" s="16">
        <f t="shared" si="0"/>
        <v>0</v>
      </c>
      <c r="E121" s="34"/>
      <c r="F121" s="34"/>
      <c r="G121" s="34"/>
      <c r="H121" s="34"/>
      <c r="I121" s="58"/>
    </row>
    <row r="122" spans="3:9">
      <c r="C122" s="30" t="s">
        <v>53</v>
      </c>
      <c r="D122" s="16">
        <f t="shared" si="0"/>
        <v>0</v>
      </c>
      <c r="E122" s="34"/>
      <c r="F122" s="34"/>
      <c r="G122" s="34"/>
      <c r="H122" s="34"/>
      <c r="I122" s="58"/>
    </row>
    <row r="123" spans="3:9">
      <c r="C123" s="15" t="s">
        <v>54</v>
      </c>
      <c r="D123" s="16">
        <f t="shared" si="0"/>
        <v>182761.57</v>
      </c>
      <c r="E123" s="35">
        <f>E124+E140</f>
        <v>0</v>
      </c>
      <c r="F123" s="35">
        <f>F124+F140</f>
        <v>0</v>
      </c>
      <c r="G123" s="35">
        <f>G124+G140</f>
        <v>37541.535000000011</v>
      </c>
      <c r="H123" s="35">
        <f>H124+H140</f>
        <v>145220.035</v>
      </c>
      <c r="I123" s="58"/>
    </row>
    <row r="124" spans="3:9">
      <c r="C124" s="17" t="s">
        <v>55</v>
      </c>
      <c r="D124" s="16">
        <f t="shared" si="0"/>
        <v>182761.57</v>
      </c>
      <c r="E124" s="35">
        <f>E125+E126</f>
        <v>0</v>
      </c>
      <c r="F124" s="35">
        <f>F125+F126</f>
        <v>0</v>
      </c>
      <c r="G124" s="35">
        <f>G125+G126</f>
        <v>37541.535000000011</v>
      </c>
      <c r="H124" s="35">
        <f>H125+H126</f>
        <v>145220.035</v>
      </c>
      <c r="I124" s="58"/>
    </row>
    <row r="125" spans="3:9">
      <c r="C125" s="30" t="s">
        <v>56</v>
      </c>
      <c r="D125" s="16">
        <f t="shared" si="0"/>
        <v>73761.892000000007</v>
      </c>
      <c r="E125" s="34"/>
      <c r="F125" s="34"/>
      <c r="G125" s="34">
        <f>G43</f>
        <v>37422.275000000009</v>
      </c>
      <c r="H125" s="34">
        <f>H43</f>
        <v>36339.616999999998</v>
      </c>
      <c r="I125" s="58"/>
    </row>
    <row r="126" spans="3:9">
      <c r="C126" s="30" t="s">
        <v>57</v>
      </c>
      <c r="D126" s="16">
        <f t="shared" si="0"/>
        <v>108999.678</v>
      </c>
      <c r="E126" s="35">
        <f>E127+E130+E133+E136+E137+E138+E139</f>
        <v>0</v>
      </c>
      <c r="F126" s="35">
        <f>F127+F130+F133+F136+F137+F138+F139</f>
        <v>0</v>
      </c>
      <c r="G126" s="35">
        <f>G127+G130+G133+G136+G137+G138+G139</f>
        <v>119.25999999999999</v>
      </c>
      <c r="H126" s="35">
        <f>H127+H130+H133+H136+H137+H138+H139</f>
        <v>108880.41800000001</v>
      </c>
      <c r="I126" s="58"/>
    </row>
    <row r="127" spans="3:9" ht="33.75">
      <c r="C127" s="31" t="s">
        <v>58</v>
      </c>
      <c r="D127" s="16">
        <f t="shared" si="0"/>
        <v>0</v>
      </c>
      <c r="E127" s="36">
        <f>E128+E129</f>
        <v>0</v>
      </c>
      <c r="F127" s="36">
        <f>F128+F129</f>
        <v>0</v>
      </c>
      <c r="G127" s="36">
        <f>G128+G129</f>
        <v>0</v>
      </c>
      <c r="H127" s="36">
        <f>H128+H129</f>
        <v>0</v>
      </c>
      <c r="I127" s="58"/>
    </row>
    <row r="128" spans="3:9">
      <c r="C128" s="37" t="s">
        <v>59</v>
      </c>
      <c r="D128" s="16">
        <f t="shared" si="0"/>
        <v>0</v>
      </c>
      <c r="E128" s="34"/>
      <c r="F128" s="34"/>
      <c r="G128" s="34"/>
      <c r="H128" s="34"/>
      <c r="I128" s="58"/>
    </row>
    <row r="129" spans="3:9">
      <c r="C129" s="37" t="s">
        <v>60</v>
      </c>
      <c r="D129" s="16">
        <f t="shared" si="0"/>
        <v>0</v>
      </c>
      <c r="E129" s="34"/>
      <c r="F129" s="34"/>
      <c r="G129" s="34"/>
      <c r="H129" s="34"/>
      <c r="I129" s="58"/>
    </row>
    <row r="130" spans="3:9" ht="33.75">
      <c r="C130" s="31" t="s">
        <v>61</v>
      </c>
      <c r="D130" s="16">
        <f t="shared" si="0"/>
        <v>0</v>
      </c>
      <c r="E130" s="36">
        <f>E131+E132</f>
        <v>0</v>
      </c>
      <c r="F130" s="36">
        <f>F131+F132</f>
        <v>0</v>
      </c>
      <c r="G130" s="36">
        <f>G131+G132</f>
        <v>0</v>
      </c>
      <c r="H130" s="36">
        <f>H131+H132</f>
        <v>0</v>
      </c>
      <c r="I130" s="58"/>
    </row>
    <row r="131" spans="3:9">
      <c r="C131" s="37" t="s">
        <v>59</v>
      </c>
      <c r="D131" s="16">
        <f t="shared" si="0"/>
        <v>0</v>
      </c>
      <c r="E131" s="34"/>
      <c r="F131" s="34"/>
      <c r="G131" s="34"/>
      <c r="H131" s="34"/>
      <c r="I131" s="58"/>
    </row>
    <row r="132" spans="3:9">
      <c r="C132" s="37" t="s">
        <v>60</v>
      </c>
      <c r="D132" s="16">
        <f t="shared" si="0"/>
        <v>0</v>
      </c>
      <c r="E132" s="34"/>
      <c r="F132" s="34"/>
      <c r="G132" s="34"/>
      <c r="H132" s="34"/>
      <c r="I132" s="58"/>
    </row>
    <row r="133" spans="3:9" ht="22.5">
      <c r="C133" s="31" t="s">
        <v>62</v>
      </c>
      <c r="D133" s="16">
        <f t="shared" si="0"/>
        <v>108614.571</v>
      </c>
      <c r="E133" s="36">
        <f>E134+E135</f>
        <v>0</v>
      </c>
      <c r="F133" s="36">
        <f>F134+F135</f>
        <v>0</v>
      </c>
      <c r="G133" s="36">
        <f>G134+G135</f>
        <v>119.25999999999999</v>
      </c>
      <c r="H133" s="36">
        <f>H134+H135</f>
        <v>108495.311</v>
      </c>
      <c r="I133" s="58"/>
    </row>
    <row r="134" spans="3:9">
      <c r="C134" s="37" t="s">
        <v>59</v>
      </c>
      <c r="D134" s="16">
        <f t="shared" si="0"/>
        <v>108614.571</v>
      </c>
      <c r="E134" s="34"/>
      <c r="F134" s="34"/>
      <c r="G134" s="34">
        <f>G53</f>
        <v>119.25999999999999</v>
      </c>
      <c r="H134" s="34">
        <f>H53-H131</f>
        <v>108495.311</v>
      </c>
      <c r="I134" s="58"/>
    </row>
    <row r="135" spans="3:9">
      <c r="C135" s="37" t="s">
        <v>60</v>
      </c>
      <c r="D135" s="16">
        <f t="shared" si="0"/>
        <v>0</v>
      </c>
      <c r="E135" s="34"/>
      <c r="F135" s="34"/>
      <c r="G135" s="34"/>
      <c r="H135" s="34"/>
      <c r="I135" s="58"/>
    </row>
    <row r="136" spans="3:9">
      <c r="C136" s="31" t="s">
        <v>63</v>
      </c>
      <c r="D136" s="16">
        <f t="shared" si="0"/>
        <v>111.28099999999998</v>
      </c>
      <c r="E136" s="34"/>
      <c r="F136" s="34"/>
      <c r="G136" s="34"/>
      <c r="H136" s="34">
        <f>12.867+'[3]Отпуск ЭЭ сет организациями'!$K$134+'[4]Отпуск ЭЭ сет организациями'!$K$134+'[5]Отпуск ЭЭ сет организациями'!$K$134+'[6]Отпуск ЭЭ сет организациями'!$K$134+'[7]Отпуск ЭЭ сет организациями'!$K$134+'[8]Отпуск ЭЭ сет организациями'!$K$134+'[9]Отпуск ЭЭ сет организациями'!$K$134+'[10]Отпуск ЭЭ сет организациями'!$K$134+'[11]Отпуск ЭЭ сет организациями'!$K$134+'[12]Отпуск ЭЭ сет организациями'!$K$134+'[13]Отпуск ЭЭ сет организациями'!$K$134</f>
        <v>111.28099999999998</v>
      </c>
      <c r="I136" s="58"/>
    </row>
    <row r="137" spans="3:9">
      <c r="C137" s="31" t="s">
        <v>64</v>
      </c>
      <c r="D137" s="16">
        <f t="shared" si="0"/>
        <v>219.56300000000002</v>
      </c>
      <c r="E137" s="34"/>
      <c r="F137" s="34"/>
      <c r="G137" s="34"/>
      <c r="H137" s="34">
        <f>28.933+'[3]Отпуск ЭЭ сет организациями'!$K$135+'[4]Отпуск ЭЭ сет организациями'!$K$135+'[5]Отпуск ЭЭ сет организациями'!$K$135+'[6]Отпуск ЭЭ сет организациями'!$K$135+'[7]Отпуск ЭЭ сет организациями'!$K$135+'[8]Отпуск ЭЭ сет организациями'!$K$135+'[9]Отпуск ЭЭ сет организациями'!$K$135+'[10]Отпуск ЭЭ сет организациями'!$K$135+'[11]Отпуск ЭЭ сет организациями'!$K$135+'[12]Отпуск ЭЭ сет организациями'!$K$135+'[13]Отпуск ЭЭ сет организациями'!$K$135</f>
        <v>219.56300000000002</v>
      </c>
      <c r="I137" s="58"/>
    </row>
    <row r="138" spans="3:9" ht="33.75">
      <c r="C138" s="31" t="s">
        <v>65</v>
      </c>
      <c r="D138" s="16">
        <f t="shared" si="0"/>
        <v>0</v>
      </c>
      <c r="E138" s="34"/>
      <c r="F138" s="34"/>
      <c r="G138" s="34"/>
      <c r="H138" s="34"/>
      <c r="I138" s="58"/>
    </row>
    <row r="139" spans="3:9" ht="22.5">
      <c r="C139" s="31" t="s">
        <v>66</v>
      </c>
      <c r="D139" s="16">
        <f t="shared" si="0"/>
        <v>54.262999999999998</v>
      </c>
      <c r="E139" s="34"/>
      <c r="F139" s="34"/>
      <c r="G139" s="34"/>
      <c r="H139" s="34">
        <f>6.059+'[3]Отпуск ЭЭ сет организациями'!$K$137+'[4]Отпуск ЭЭ сет организациями'!$K$137+'[5]Отпуск ЭЭ сет организациями'!$K$137+'[6]Отпуск ЭЭ сет организациями'!$K$137+'[7]Отпуск ЭЭ сет организациями'!$K$137+'[8]Отпуск ЭЭ сет организациями'!$K$137+'[9]Отпуск ЭЭ сет организациями'!$K$137+'[10]Отпуск ЭЭ сет организациями'!$K$137+'[11]Отпуск ЭЭ сет организациями'!$K$137+'[12]Отпуск ЭЭ сет организациями'!$K$137+'[13]Отпуск ЭЭ сет организациями'!$K$137</f>
        <v>54.262999999999998</v>
      </c>
      <c r="I139" s="58"/>
    </row>
    <row r="140" spans="3:9">
      <c r="C140" s="17" t="s">
        <v>67</v>
      </c>
      <c r="D140" s="16">
        <f t="shared" si="0"/>
        <v>0</v>
      </c>
      <c r="E140" s="35">
        <f>E143</f>
        <v>0</v>
      </c>
      <c r="F140" s="35">
        <f>F143</f>
        <v>0</v>
      </c>
      <c r="G140" s="35">
        <f>G143</f>
        <v>0</v>
      </c>
      <c r="H140" s="35">
        <f>H143</f>
        <v>0</v>
      </c>
      <c r="I140" s="58"/>
    </row>
    <row r="141" spans="3:9">
      <c r="C141" s="30" t="s">
        <v>51</v>
      </c>
      <c r="D141" s="16">
        <f t="shared" si="0"/>
        <v>0</v>
      </c>
      <c r="E141" s="34"/>
      <c r="F141" s="34"/>
      <c r="G141" s="34"/>
      <c r="H141" s="34"/>
      <c r="I141" s="58"/>
    </row>
    <row r="142" spans="3:9">
      <c r="C142" s="31" t="s">
        <v>68</v>
      </c>
      <c r="D142" s="16">
        <f t="shared" si="0"/>
        <v>0</v>
      </c>
      <c r="E142" s="34"/>
      <c r="F142" s="34"/>
      <c r="G142" s="34"/>
      <c r="H142" s="34"/>
      <c r="I142" s="58"/>
    </row>
    <row r="143" spans="3:9">
      <c r="C143" s="30" t="s">
        <v>53</v>
      </c>
      <c r="D143" s="16">
        <f t="shared" si="0"/>
        <v>0</v>
      </c>
      <c r="E143" s="34"/>
      <c r="F143" s="34"/>
      <c r="G143" s="34"/>
      <c r="H143" s="34"/>
      <c r="I143" s="58"/>
    </row>
    <row r="144" spans="3:9">
      <c r="C144" s="29" t="s">
        <v>69</v>
      </c>
      <c r="D144" s="16">
        <f t="shared" si="0"/>
        <v>187018.326</v>
      </c>
      <c r="E144" s="35">
        <f>SUM(E145:E146)</f>
        <v>0</v>
      </c>
      <c r="F144" s="35">
        <f>SUM(F145:F146)</f>
        <v>0</v>
      </c>
      <c r="G144" s="35">
        <f>SUM(G145:G146)</f>
        <v>41331.37000000001</v>
      </c>
      <c r="H144" s="35">
        <f>SUM(H145:H146)</f>
        <v>145686.95600000001</v>
      </c>
      <c r="I144" s="58"/>
    </row>
    <row r="145" spans="3:9">
      <c r="C145" s="17" t="s">
        <v>49</v>
      </c>
      <c r="D145" s="16">
        <f t="shared" si="0"/>
        <v>0</v>
      </c>
      <c r="E145" s="34"/>
      <c r="F145" s="34"/>
      <c r="G145" s="34"/>
      <c r="H145" s="34"/>
      <c r="I145" s="58"/>
    </row>
    <row r="146" spans="3:9">
      <c r="C146" s="17" t="s">
        <v>50</v>
      </c>
      <c r="D146" s="16">
        <f t="shared" si="0"/>
        <v>187018.326</v>
      </c>
      <c r="E146" s="35">
        <f>E148</f>
        <v>0</v>
      </c>
      <c r="F146" s="35">
        <f>F148</f>
        <v>0</v>
      </c>
      <c r="G146" s="35">
        <f>G148</f>
        <v>41331.37000000001</v>
      </c>
      <c r="H146" s="35">
        <f>H148</f>
        <v>145686.95600000001</v>
      </c>
      <c r="I146" s="58"/>
    </row>
    <row r="147" spans="3:9">
      <c r="C147" s="30" t="s">
        <v>70</v>
      </c>
      <c r="D147" s="16">
        <f t="shared" si="0"/>
        <v>41.11</v>
      </c>
      <c r="E147" s="34"/>
      <c r="F147" s="34"/>
      <c r="G147" s="34">
        <f>G113</f>
        <v>9.19</v>
      </c>
      <c r="H147" s="34">
        <f>H113</f>
        <v>31.92</v>
      </c>
      <c r="I147" s="58"/>
    </row>
    <row r="148" spans="3:9">
      <c r="C148" s="30" t="s">
        <v>53</v>
      </c>
      <c r="D148" s="16">
        <f t="shared" si="0"/>
        <v>187018.326</v>
      </c>
      <c r="E148" s="34">
        <v>0</v>
      </c>
      <c r="F148" s="34"/>
      <c r="G148" s="34">
        <f>G40-561.099</f>
        <v>41331.37000000001</v>
      </c>
      <c r="H148" s="34">
        <f>H40-164.962</f>
        <v>145686.95600000001</v>
      </c>
      <c r="I148" s="58"/>
    </row>
    <row r="149" spans="3:9">
      <c r="C149" s="56"/>
      <c r="D149" s="56"/>
      <c r="E149" s="56"/>
      <c r="F149" s="56"/>
      <c r="G149" s="56"/>
      <c r="H149" s="57"/>
      <c r="I149" s="58"/>
    </row>
    <row r="150" spans="3:9" ht="22.5">
      <c r="C150" s="15" t="s">
        <v>71</v>
      </c>
      <c r="D150" s="16">
        <f t="shared" si="0"/>
        <v>0</v>
      </c>
      <c r="E150" s="35">
        <f>SUM( E151:E152)</f>
        <v>0</v>
      </c>
      <c r="F150" s="35">
        <f>SUM( F151:F152)</f>
        <v>0</v>
      </c>
      <c r="G150" s="35">
        <f>SUM( G151:G152)</f>
        <v>0</v>
      </c>
      <c r="H150" s="35">
        <f>SUM( H151:H152)</f>
        <v>0</v>
      </c>
      <c r="I150" s="58"/>
    </row>
    <row r="151" spans="3:9">
      <c r="C151" s="17" t="s">
        <v>49</v>
      </c>
      <c r="D151" s="16">
        <f t="shared" si="0"/>
        <v>0</v>
      </c>
      <c r="E151" s="34"/>
      <c r="F151" s="34"/>
      <c r="G151" s="34"/>
      <c r="H151" s="34"/>
      <c r="I151" s="58"/>
    </row>
    <row r="152" spans="3:9">
      <c r="C152" s="17" t="s">
        <v>50</v>
      </c>
      <c r="D152" s="16">
        <f t="shared" si="0"/>
        <v>0</v>
      </c>
      <c r="E152" s="35">
        <f>E153+E155</f>
        <v>0</v>
      </c>
      <c r="F152" s="35">
        <f>F153+F155</f>
        <v>0</v>
      </c>
      <c r="G152" s="35">
        <f>G153+G155</f>
        <v>0</v>
      </c>
      <c r="H152" s="35">
        <f>H153+H155</f>
        <v>0</v>
      </c>
      <c r="I152" s="58"/>
    </row>
    <row r="153" spans="3:9">
      <c r="C153" s="30" t="s">
        <v>72</v>
      </c>
      <c r="D153" s="16">
        <f t="shared" si="0"/>
        <v>0</v>
      </c>
      <c r="E153" s="34"/>
      <c r="F153" s="34"/>
      <c r="G153" s="34"/>
      <c r="H153" s="34"/>
      <c r="I153" s="58"/>
    </row>
    <row r="154" spans="3:9">
      <c r="C154" s="31" t="s">
        <v>73</v>
      </c>
      <c r="D154" s="16">
        <f t="shared" si="0"/>
        <v>0</v>
      </c>
      <c r="E154" s="34"/>
      <c r="F154" s="34"/>
      <c r="G154" s="34"/>
      <c r="H154" s="34"/>
      <c r="I154" s="58"/>
    </row>
    <row r="155" spans="3:9">
      <c r="C155" s="30" t="s">
        <v>74</v>
      </c>
      <c r="D155" s="16">
        <f t="shared" si="0"/>
        <v>0</v>
      </c>
      <c r="E155" s="34"/>
      <c r="F155" s="34"/>
      <c r="G155" s="34"/>
      <c r="H155" s="34"/>
      <c r="I155" s="58"/>
    </row>
    <row r="156" spans="3:9">
      <c r="C156" s="15" t="s">
        <v>75</v>
      </c>
      <c r="D156" s="16">
        <f t="shared" si="0"/>
        <v>0</v>
      </c>
      <c r="E156" s="36">
        <f>SUM( E157+E162)</f>
        <v>0</v>
      </c>
      <c r="F156" s="36">
        <f>SUM( F157+F162)</f>
        <v>0</v>
      </c>
      <c r="G156" s="36">
        <f>SUM( G157+G162)</f>
        <v>0</v>
      </c>
      <c r="H156" s="36">
        <f>SUM( H157+H162)</f>
        <v>0</v>
      </c>
      <c r="I156" s="60"/>
    </row>
    <row r="157" spans="3:9">
      <c r="C157" s="17" t="s">
        <v>49</v>
      </c>
      <c r="D157" s="16">
        <f t="shared" ref="D157:D170" si="1">SUM(E157:H157)</f>
        <v>0</v>
      </c>
      <c r="E157" s="36">
        <f>SUM( E158:E159)</f>
        <v>0</v>
      </c>
      <c r="F157" s="36">
        <f>SUM( F158:F159)</f>
        <v>0</v>
      </c>
      <c r="G157" s="36">
        <f>SUM( G158:G159)</f>
        <v>0</v>
      </c>
      <c r="H157" s="36">
        <f>SUM( H158:H159)</f>
        <v>0</v>
      </c>
      <c r="I157" s="60"/>
    </row>
    <row r="158" spans="3:9">
      <c r="C158" s="30" t="s">
        <v>56</v>
      </c>
      <c r="D158" s="16">
        <f t="shared" si="1"/>
        <v>0</v>
      </c>
      <c r="E158" s="38"/>
      <c r="F158" s="38"/>
      <c r="G158" s="38"/>
      <c r="H158" s="38"/>
      <c r="I158" s="60"/>
    </row>
    <row r="159" spans="3:9">
      <c r="C159" s="30" t="s">
        <v>57</v>
      </c>
      <c r="D159" s="16">
        <f t="shared" si="1"/>
        <v>0</v>
      </c>
      <c r="E159" s="36">
        <f>E160+E161</f>
        <v>0</v>
      </c>
      <c r="F159" s="36">
        <f>F160+F161</f>
        <v>0</v>
      </c>
      <c r="G159" s="36">
        <f>G160+G161</f>
        <v>0</v>
      </c>
      <c r="H159" s="36">
        <f>H160+H161</f>
        <v>0</v>
      </c>
      <c r="I159" s="60"/>
    </row>
    <row r="160" spans="3:9">
      <c r="C160" s="31" t="s">
        <v>59</v>
      </c>
      <c r="D160" s="16">
        <f t="shared" si="1"/>
        <v>0</v>
      </c>
      <c r="E160" s="38"/>
      <c r="F160" s="38"/>
      <c r="G160" s="38"/>
      <c r="H160" s="38"/>
      <c r="I160" s="60"/>
    </row>
    <row r="161" spans="3:12">
      <c r="C161" s="31" t="s">
        <v>76</v>
      </c>
      <c r="D161" s="16">
        <f t="shared" si="1"/>
        <v>0</v>
      </c>
      <c r="E161" s="38"/>
      <c r="F161" s="38"/>
      <c r="G161" s="38"/>
      <c r="H161" s="38"/>
      <c r="I161" s="60"/>
    </row>
    <row r="162" spans="3:12">
      <c r="C162" s="17" t="s">
        <v>67</v>
      </c>
      <c r="D162" s="16">
        <f t="shared" si="1"/>
        <v>0</v>
      </c>
      <c r="E162" s="36">
        <f>E163+E165</f>
        <v>0</v>
      </c>
      <c r="F162" s="36">
        <f>F163+F165</f>
        <v>0</v>
      </c>
      <c r="G162" s="36">
        <f>G163+G165</f>
        <v>0</v>
      </c>
      <c r="H162" s="36">
        <f>H163+H165</f>
        <v>0</v>
      </c>
      <c r="I162" s="60"/>
    </row>
    <row r="163" spans="3:12">
      <c r="C163" s="30" t="s">
        <v>72</v>
      </c>
      <c r="D163" s="16">
        <f t="shared" si="1"/>
        <v>0</v>
      </c>
      <c r="E163" s="34"/>
      <c r="F163" s="34"/>
      <c r="G163" s="34"/>
      <c r="H163" s="34"/>
      <c r="I163" s="60"/>
    </row>
    <row r="164" spans="3:12">
      <c r="C164" s="31" t="s">
        <v>73</v>
      </c>
      <c r="D164" s="16">
        <f t="shared" si="1"/>
        <v>0</v>
      </c>
      <c r="E164" s="34"/>
      <c r="F164" s="34"/>
      <c r="G164" s="34"/>
      <c r="H164" s="34"/>
      <c r="I164" s="60"/>
    </row>
    <row r="165" spans="3:12">
      <c r="C165" s="30" t="s">
        <v>74</v>
      </c>
      <c r="D165" s="16">
        <f t="shared" si="1"/>
        <v>0</v>
      </c>
      <c r="E165" s="39"/>
      <c r="F165" s="39"/>
      <c r="G165" s="39"/>
      <c r="H165" s="39"/>
      <c r="I165" s="60"/>
    </row>
    <row r="166" spans="3:12">
      <c r="C166" s="15" t="s">
        <v>77</v>
      </c>
      <c r="D166" s="16">
        <f t="shared" si="1"/>
        <v>489138.9546</v>
      </c>
      <c r="E166" s="40">
        <f>SUM( E167:E168)</f>
        <v>0</v>
      </c>
      <c r="F166" s="40">
        <f>SUM( F167:F168)</f>
        <v>0</v>
      </c>
      <c r="G166" s="40">
        <f>SUM( G167:G168)</f>
        <v>244569.4773</v>
      </c>
      <c r="H166" s="40">
        <f>SUM( H167:H168)</f>
        <v>244569.4773</v>
      </c>
      <c r="I166" s="60"/>
    </row>
    <row r="167" spans="3:12">
      <c r="C167" s="17" t="s">
        <v>49</v>
      </c>
      <c r="D167" s="16">
        <f t="shared" si="1"/>
        <v>0</v>
      </c>
      <c r="E167" s="39"/>
      <c r="F167" s="39"/>
      <c r="G167" s="39"/>
      <c r="H167" s="39"/>
      <c r="I167" s="60"/>
    </row>
    <row r="168" spans="3:12">
      <c r="C168" s="17" t="s">
        <v>50</v>
      </c>
      <c r="D168" s="16">
        <f t="shared" si="1"/>
        <v>489138.9546</v>
      </c>
      <c r="E168" s="40">
        <f>E169+E170</f>
        <v>0</v>
      </c>
      <c r="F168" s="40">
        <f>F169+F170</f>
        <v>0</v>
      </c>
      <c r="G168" s="40">
        <f>G169+G170</f>
        <v>244569.4773</v>
      </c>
      <c r="H168" s="40">
        <f>H169+H170</f>
        <v>244569.4773</v>
      </c>
      <c r="I168" s="60"/>
    </row>
    <row r="169" spans="3:12">
      <c r="C169" s="30" t="s">
        <v>78</v>
      </c>
      <c r="D169" s="16">
        <f t="shared" si="1"/>
        <v>356310.73572</v>
      </c>
      <c r="E169" s="39"/>
      <c r="F169" s="39"/>
      <c r="G169" s="39">
        <f>14846.280655*12</f>
        <v>178155.36786</v>
      </c>
      <c r="H169" s="39">
        <f>14846.280655*12</f>
        <v>178155.36786</v>
      </c>
      <c r="I169" s="60"/>
    </row>
    <row r="170" spans="3:12">
      <c r="C170" s="30" t="s">
        <v>74</v>
      </c>
      <c r="D170" s="16">
        <f t="shared" si="1"/>
        <v>132828.21888</v>
      </c>
      <c r="E170" s="39"/>
      <c r="F170" s="39"/>
      <c r="G170" s="39">
        <f>6788.420075+'[3]Отпуск ЭЭ сет организациями'!$J$168+'[4]Отпуск ЭЭ сет организациями'!$J$168+'[5]Отпуск ЭЭ сет организациями'!$J$168+'[6]Отпуск ЭЭ сет организациями'!$J$168+'[7]Отпуск ЭЭ сет организациями'!$J$168+'[8]Отпуск ЭЭ сет организациями'!$J$168+'[9]Отпуск ЭЭ сет организациями'!$J$168+'[10]Отпуск ЭЭ сет организациями'!$J$168+'[11]Отпуск ЭЭ сет организациями'!$J$168+'[12]Отпуск ЭЭ сет организациями'!$J$168+'[13]Отпуск ЭЭ сет организациями'!$J$168</f>
        <v>66414.10944</v>
      </c>
      <c r="H170" s="39">
        <f>G170</f>
        <v>66414.10944</v>
      </c>
      <c r="I170" s="60"/>
    </row>
    <row r="171" spans="3:12">
      <c r="C171" s="41"/>
      <c r="D171" s="41"/>
      <c r="E171" s="41"/>
      <c r="F171" s="41"/>
      <c r="G171" s="41"/>
      <c r="H171" s="42"/>
      <c r="I171" s="42"/>
      <c r="J171" s="42"/>
      <c r="K171" s="43"/>
      <c r="L171" s="43"/>
    </row>
    <row r="172" spans="3:12">
      <c r="C172" s="42"/>
      <c r="D172" s="42"/>
      <c r="E172" s="42"/>
      <c r="F172" s="42"/>
      <c r="G172" s="42"/>
      <c r="H172" s="42"/>
      <c r="I172" s="42"/>
      <c r="J172" s="42"/>
      <c r="K172" s="43"/>
      <c r="L172" s="43"/>
    </row>
    <row r="173" spans="3:12">
      <c r="C173" s="55" t="s">
        <v>79</v>
      </c>
      <c r="D173" s="55"/>
      <c r="E173" s="55"/>
      <c r="F173" s="55"/>
      <c r="G173" s="55"/>
      <c r="H173" s="55"/>
      <c r="I173" s="42"/>
      <c r="J173" s="42"/>
      <c r="K173" s="43"/>
      <c r="L173" s="43"/>
    </row>
    <row r="174" spans="3:12">
      <c r="C174" s="44" t="s">
        <v>83</v>
      </c>
      <c r="D174" s="45">
        <f>SUM(G174:H174)</f>
        <v>79194.602629999994</v>
      </c>
      <c r="E174" s="46"/>
      <c r="F174" s="46"/>
      <c r="G174" s="46">
        <v>39597.301314999997</v>
      </c>
      <c r="H174" s="46">
        <v>39597.301314999997</v>
      </c>
      <c r="I174" s="42"/>
      <c r="J174" s="42"/>
      <c r="K174" s="43"/>
      <c r="L174" s="43"/>
    </row>
    <row r="175" spans="3:12">
      <c r="C175" s="42"/>
      <c r="D175" s="42"/>
      <c r="E175" s="42"/>
      <c r="F175" s="42"/>
      <c r="G175" s="42"/>
      <c r="H175" s="42"/>
      <c r="I175" s="42"/>
      <c r="J175" s="42"/>
      <c r="K175" s="43"/>
      <c r="L175" s="43"/>
    </row>
    <row r="176" spans="3:12">
      <c r="C176" s="42"/>
      <c r="D176" s="42"/>
      <c r="E176" s="42"/>
      <c r="F176" s="42"/>
      <c r="G176" s="42"/>
      <c r="H176" s="42"/>
      <c r="I176" s="42"/>
      <c r="J176" s="42"/>
      <c r="K176" s="43"/>
      <c r="L176" s="43"/>
    </row>
    <row r="177" spans="3:12">
      <c r="C177" s="42"/>
      <c r="D177" s="42"/>
      <c r="E177" s="42"/>
      <c r="F177" s="42"/>
      <c r="G177" s="42"/>
      <c r="H177" s="42"/>
      <c r="I177" s="42"/>
      <c r="J177" s="42"/>
      <c r="K177" s="43"/>
      <c r="L177" s="43"/>
    </row>
    <row r="178" spans="3:12">
      <c r="C178" s="42"/>
      <c r="D178" s="42"/>
      <c r="E178" s="42"/>
      <c r="F178" s="42"/>
      <c r="G178" s="42"/>
      <c r="H178" s="42"/>
      <c r="I178" s="42"/>
      <c r="J178" s="42"/>
      <c r="K178" s="43"/>
      <c r="L178" s="43"/>
    </row>
    <row r="179" spans="3:12">
      <c r="C179" s="42"/>
      <c r="D179" s="42"/>
      <c r="E179" s="42"/>
      <c r="F179" s="42"/>
      <c r="G179" s="42"/>
      <c r="H179" s="42"/>
      <c r="I179" s="42"/>
      <c r="J179" s="42"/>
      <c r="K179" s="43"/>
      <c r="L179" s="43"/>
    </row>
    <row r="180" spans="3:12">
      <c r="C180" s="42"/>
      <c r="D180" s="42"/>
      <c r="E180" s="42"/>
      <c r="F180" s="42"/>
      <c r="G180" s="42"/>
      <c r="H180" s="42"/>
      <c r="I180" s="42"/>
      <c r="J180" s="42"/>
      <c r="K180" s="43"/>
      <c r="L180" s="43"/>
    </row>
    <row r="181" spans="3:12">
      <c r="C181" s="42"/>
      <c r="D181" s="42"/>
      <c r="E181" s="42"/>
      <c r="F181" s="42"/>
      <c r="G181" s="42"/>
      <c r="H181" s="42"/>
      <c r="I181" s="42"/>
      <c r="J181" s="42"/>
      <c r="K181" s="43"/>
      <c r="L181" s="43"/>
    </row>
    <row r="182" spans="3:12">
      <c r="C182" s="42"/>
      <c r="D182" s="42"/>
      <c r="E182" s="42"/>
      <c r="F182" s="42"/>
      <c r="G182" s="42"/>
      <c r="H182" s="42"/>
      <c r="I182" s="42"/>
      <c r="J182" s="42"/>
      <c r="K182" s="43"/>
      <c r="L182" s="43"/>
    </row>
    <row r="183" spans="3:12">
      <c r="C183" s="42"/>
      <c r="D183" s="42"/>
      <c r="E183" s="42"/>
      <c r="F183" s="42"/>
      <c r="G183" s="42"/>
      <c r="H183" s="42"/>
      <c r="I183" s="42"/>
      <c r="J183" s="42"/>
      <c r="K183" s="43"/>
      <c r="L183" s="43"/>
    </row>
    <row r="184" spans="3:12">
      <c r="C184" s="42"/>
      <c r="D184" s="42"/>
      <c r="E184" s="42"/>
      <c r="F184" s="42"/>
      <c r="G184" s="42"/>
      <c r="H184" s="42"/>
      <c r="I184" s="42"/>
      <c r="J184" s="42"/>
      <c r="K184" s="43"/>
      <c r="L184" s="43"/>
    </row>
    <row r="185" spans="3:12">
      <c r="C185" s="42"/>
      <c r="D185" s="42"/>
      <c r="E185" s="42"/>
      <c r="F185" s="42"/>
      <c r="G185" s="42"/>
      <c r="H185" s="42"/>
      <c r="I185" s="42"/>
      <c r="J185" s="42"/>
      <c r="K185" s="43"/>
      <c r="L185" s="43"/>
    </row>
    <row r="186" spans="3:12">
      <c r="C186" s="42"/>
      <c r="D186" s="42"/>
      <c r="E186" s="42"/>
      <c r="F186" s="42"/>
      <c r="G186" s="42"/>
      <c r="H186" s="42"/>
      <c r="I186" s="42"/>
      <c r="J186" s="42"/>
      <c r="K186" s="43"/>
      <c r="L186" s="43"/>
    </row>
    <row r="187" spans="3:12">
      <c r="C187" s="42"/>
      <c r="D187" s="42"/>
      <c r="E187" s="42"/>
      <c r="F187" s="42"/>
      <c r="G187" s="42"/>
      <c r="H187" s="42"/>
      <c r="I187" s="42"/>
      <c r="J187" s="42"/>
      <c r="K187" s="43"/>
      <c r="L187" s="43"/>
    </row>
    <row r="188" spans="3:12">
      <c r="C188" s="42"/>
      <c r="D188" s="42"/>
      <c r="E188" s="42"/>
      <c r="F188" s="42"/>
      <c r="G188" s="42"/>
      <c r="H188" s="42"/>
      <c r="I188" s="42"/>
      <c r="J188" s="42"/>
      <c r="K188" s="43"/>
      <c r="L188" s="43"/>
    </row>
    <row r="189" spans="3:12">
      <c r="C189" s="42"/>
      <c r="D189" s="42"/>
      <c r="E189" s="42"/>
      <c r="F189" s="42"/>
      <c r="G189" s="42"/>
      <c r="H189" s="42"/>
      <c r="I189" s="42"/>
      <c r="J189" s="42"/>
      <c r="K189" s="43"/>
      <c r="L189" s="43"/>
    </row>
    <row r="190" spans="3:12">
      <c r="C190" s="42"/>
      <c r="D190" s="42"/>
      <c r="E190" s="42"/>
      <c r="F190" s="42"/>
      <c r="G190" s="42"/>
      <c r="H190" s="42"/>
      <c r="I190" s="42"/>
      <c r="J190" s="42"/>
      <c r="K190" s="43"/>
      <c r="L190" s="43"/>
    </row>
    <row r="191" spans="3:12">
      <c r="C191" s="42"/>
      <c r="D191" s="42"/>
      <c r="E191" s="42"/>
      <c r="F191" s="42"/>
      <c r="G191" s="42"/>
      <c r="H191" s="42"/>
      <c r="I191" s="42"/>
      <c r="J191" s="42"/>
      <c r="K191" s="43"/>
      <c r="L191" s="43"/>
    </row>
    <row r="192" spans="3:12">
      <c r="C192" s="42"/>
      <c r="D192" s="42"/>
      <c r="E192" s="42"/>
      <c r="F192" s="42"/>
      <c r="G192" s="42"/>
      <c r="H192" s="42"/>
      <c r="I192" s="42"/>
      <c r="J192" s="42"/>
      <c r="K192" s="43"/>
      <c r="L192" s="43"/>
    </row>
    <row r="193" spans="3:12">
      <c r="C193" s="42"/>
      <c r="D193" s="42"/>
      <c r="E193" s="42"/>
      <c r="F193" s="42"/>
      <c r="G193" s="42"/>
      <c r="H193" s="42"/>
      <c r="I193" s="42"/>
      <c r="J193" s="42"/>
      <c r="K193" s="43"/>
      <c r="L193" s="43"/>
    </row>
    <row r="194" spans="3:12">
      <c r="C194" s="42"/>
      <c r="D194" s="42"/>
      <c r="E194" s="42"/>
      <c r="F194" s="42"/>
      <c r="G194" s="42"/>
      <c r="H194" s="42"/>
      <c r="I194" s="42"/>
      <c r="J194" s="42"/>
      <c r="K194" s="43"/>
      <c r="L194" s="43"/>
    </row>
    <row r="195" spans="3:12">
      <c r="C195" s="42"/>
      <c r="D195" s="42"/>
      <c r="E195" s="42"/>
      <c r="F195" s="42"/>
      <c r="G195" s="42"/>
      <c r="H195" s="42"/>
      <c r="I195" s="42"/>
      <c r="J195" s="42"/>
      <c r="K195" s="43"/>
      <c r="L195" s="43"/>
    </row>
    <row r="196" spans="3:12">
      <c r="C196" s="42"/>
      <c r="D196" s="42"/>
      <c r="E196" s="42"/>
      <c r="F196" s="42"/>
      <c r="G196" s="42"/>
      <c r="H196" s="42"/>
      <c r="I196" s="42"/>
      <c r="J196" s="42"/>
      <c r="K196" s="43"/>
      <c r="L196" s="43"/>
    </row>
    <row r="197" spans="3:12"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3:12"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3:12"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3:12"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</sheetData>
  <mergeCells count="10">
    <mergeCell ref="C173:H173"/>
    <mergeCell ref="C14:H14"/>
    <mergeCell ref="C64:H64"/>
    <mergeCell ref="C112:H112"/>
    <mergeCell ref="C116:H116"/>
    <mergeCell ref="C149:H149"/>
    <mergeCell ref="C11:C12"/>
    <mergeCell ref="D11:D12"/>
    <mergeCell ref="E11:H11"/>
    <mergeCell ref="C8:D8"/>
  </mergeCells>
  <dataValidations count="2">
    <dataValidation type="decimal" allowBlank="1" showErrorMessage="1" errorTitle="Ошибка" error="Допускается ввод только действительных чисел!" sqref="D113:H115 D103:H111 D117:H148 D150:H170 D84:H101 D15:H18 D26:H32 D20:H24 D34:H51 D65:H68 D76:H82 D70:H74 D53:H63 D174:H17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C98:C101 C78:C82 C72:C74 C48:C51 C22:C24 C28:C32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2022-03-09T11:19:34Z</dcterms:modified>
</cp:coreProperties>
</file>